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24226"/>
  <mc:AlternateContent xmlns:mc="http://schemas.openxmlformats.org/markup-compatibility/2006">
    <mc:Choice Requires="x15">
      <x15ac:absPath xmlns:x15ac="http://schemas.microsoft.com/office/spreadsheetml/2010/11/ac" url="C:\Users\bontons\Documents\"/>
    </mc:Choice>
  </mc:AlternateContent>
  <xr:revisionPtr revIDLastSave="0" documentId="13_ncr:1_{5254EC1E-EEF3-4C67-A7E2-6D2F7858C313}" xr6:coauthVersionLast="47" xr6:coauthVersionMax="47" xr10:uidLastSave="{00000000-0000-0000-0000-000000000000}"/>
  <bookViews>
    <workbookView xWindow="-110" yWindow="-110" windowWidth="19420" windowHeight="10420" tabRatio="870" activeTab="5" xr2:uid="{00000000-000D-0000-FFFF-FFFF00000000}"/>
  </bookViews>
  <sheets>
    <sheet name="BCA-Summary" sheetId="21" r:id="rId1"/>
    <sheet name="ImpactMatrix" sheetId="38" r:id="rId2"/>
    <sheet name="Inputs" sheetId="3" r:id="rId3"/>
    <sheet name="CapitalCosts " sheetId="12" r:id="rId4"/>
    <sheet name="O&amp;M_Costs" sheetId="22" r:id="rId5"/>
    <sheet name="Safety" sheetId="20" r:id="rId6"/>
    <sheet name="Wildlife Safety" sheetId="36" r:id="rId7"/>
    <sheet name="TT_Savings" sheetId="1" r:id="rId8"/>
    <sheet name="Maint Delays Avoidance" sheetId="31" r:id="rId9"/>
    <sheet name="DMS Delay Avoidance" sheetId="49" r:id="rId10"/>
    <sheet name="ParatransitTT_Savings" sheetId="47" r:id="rId11"/>
    <sheet name="SignalCoord" sheetId="42" r:id="rId12"/>
    <sheet name="AgAccess" sheetId="44" r:id="rId13"/>
    <sheet name="EmergencyServices" sheetId="39" r:id="rId14"/>
    <sheet name="Emissions-Idling" sheetId="37" r:id="rId15"/>
    <sheet name="Non-Motorist Savings" sheetId="43" r:id="rId16"/>
    <sheet name="Residual" sheetId="13" r:id="rId17"/>
    <sheet name="143O&amp;M" sheetId="48" r:id="rId18"/>
    <sheet name="TIMS_Summary" sheetId="54" r:id="rId19"/>
    <sheet name="TrafficData" sheetId="29" r:id="rId20"/>
    <sheet name="AT User Data" sheetId="55" r:id="rId21"/>
    <sheet name="Emissions Rates" sheetId="35" r:id="rId22"/>
    <sheet name="CMFs" sheetId="45" r:id="rId23"/>
    <sheet name="Cost&amp;Schedule" sheetId="41" r:id="rId24"/>
    <sheet name="Deflator" sheetId="6"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s>
  <definedNames>
    <definedName name="\A" localSheetId="4">#REF!</definedName>
    <definedName name="\A">#REF!</definedName>
    <definedName name="\B" localSheetId="4">#REF!</definedName>
    <definedName name="\B">#REF!</definedName>
    <definedName name="\p" localSheetId="4">#REF!</definedName>
    <definedName name="\p">#REF!</definedName>
    <definedName name="\S" localSheetId="4">#REF!</definedName>
    <definedName name="\S">#REF!</definedName>
    <definedName name="_____________________________ALL2">'[1]A-11a Balance Sheet Recons'!$B$11:$J$42</definedName>
    <definedName name="____________________________ALL2">'[1]A-11a Balance Sheet Recons'!$B$11:$J$42</definedName>
    <definedName name="___________________________ALL2">'[1]A-11a Balance Sheet Recons'!$B$11:$J$42</definedName>
    <definedName name="__________________________ALL2">'[1]A-11a Balance Sheet Recons'!$B$11:$J$42</definedName>
    <definedName name="_________________________ALL2">'[1]A-11a Balance Sheet Recons'!$B$11:$J$42</definedName>
    <definedName name="________________________ALL2">'[1]A-11a Balance Sheet Recons'!$B$11:$J$42</definedName>
    <definedName name="_______________________ALL2">'[1]A-11a Balance Sheet Recons'!$B$11:$J$42</definedName>
    <definedName name="______________________ALL2">'[1]A-11a Balance Sheet Recons'!$B$11:$J$42</definedName>
    <definedName name="_____________________ALL2">'[1]A-11a Balance Sheet Recons'!$B$11:$J$42</definedName>
    <definedName name="____________________ALL2">'[1]A-11a Balance Sheet Recons'!$B$11:$J$42</definedName>
    <definedName name="___________________ALL2">'[1]A-11a Balance Sheet Recons'!$B$11:$J$42</definedName>
    <definedName name="__________________ALL2">'[1]A-11a Balance Sheet Recons'!$B$11:$J$42</definedName>
    <definedName name="_________________ALL2">'[1]A-11a Balance Sheet Recons'!$B$11:$J$42</definedName>
    <definedName name="________________ALL2">'[1]A-11a Balance Sheet Recons'!$B$11:$J$42</definedName>
    <definedName name="_______________ALL2">'[1]A-11a Balance Sheet Recons'!$B$11:$J$42</definedName>
    <definedName name="______________ALL2">'[1]A-11a Balance Sheet Recons'!$B$11:$J$42</definedName>
    <definedName name="_____________ALL2">'[1]A-11a Balance Sheet Recons'!$B$11:$J$42</definedName>
    <definedName name="____________ALL2">'[1]A-11a Balance Sheet Recons'!$B$11:$J$42</definedName>
    <definedName name="____________RG1" localSheetId="4">#REF!</definedName>
    <definedName name="____________RG1">#REF!</definedName>
    <definedName name="____________RG2" localSheetId="4">#REF!</definedName>
    <definedName name="____________RG2">#REF!</definedName>
    <definedName name="____________RG3" localSheetId="4">#REF!</definedName>
    <definedName name="____________RG3">#REF!</definedName>
    <definedName name="____________RG4" localSheetId="4">#REF!</definedName>
    <definedName name="____________RG4">#REF!</definedName>
    <definedName name="___________ALL2">'[1]A-11a Balance Sheet Recons'!$B$11:$J$42</definedName>
    <definedName name="___________RG1" localSheetId="4">#REF!</definedName>
    <definedName name="___________RG1">#REF!</definedName>
    <definedName name="___________RG2" localSheetId="4">#REF!</definedName>
    <definedName name="___________RG2">#REF!</definedName>
    <definedName name="___________RG3" localSheetId="4">#REF!</definedName>
    <definedName name="___________RG3">#REF!</definedName>
    <definedName name="___________RG4" localSheetId="4">#REF!</definedName>
    <definedName name="___________RG4">#REF!</definedName>
    <definedName name="__________ALL2">'[1]A-11a Balance Sheet Recons'!$B$11:$J$42</definedName>
    <definedName name="__________RG1" localSheetId="4">#REF!</definedName>
    <definedName name="__________RG1">#REF!</definedName>
    <definedName name="__________RG2" localSheetId="4">#REF!</definedName>
    <definedName name="__________RG2">#REF!</definedName>
    <definedName name="__________RG3" localSheetId="4">#REF!</definedName>
    <definedName name="__________RG3">#REF!</definedName>
    <definedName name="__________RG4" localSheetId="4">#REF!</definedName>
    <definedName name="__________RG4">#REF!</definedName>
    <definedName name="_________ALL2">'[1]A-11a Balance Sheet Recons'!$B$11:$J$42</definedName>
    <definedName name="_________RG1" localSheetId="4">#REF!</definedName>
    <definedName name="_________RG1">#REF!</definedName>
    <definedName name="_________RG2" localSheetId="4">#REF!</definedName>
    <definedName name="_________RG2">#REF!</definedName>
    <definedName name="_________RG3" localSheetId="4">#REF!</definedName>
    <definedName name="_________RG3">#REF!</definedName>
    <definedName name="_________RG4" localSheetId="4">#REF!</definedName>
    <definedName name="_________RG4">#REF!</definedName>
    <definedName name="________ALL2">'[1]A-11a Balance Sheet Recons'!$B$11:$J$42</definedName>
    <definedName name="________RG1" localSheetId="4">#REF!</definedName>
    <definedName name="________RG1">#REF!</definedName>
    <definedName name="________RG2" localSheetId="4">#REF!</definedName>
    <definedName name="________RG2">#REF!</definedName>
    <definedName name="________RG3" localSheetId="4">#REF!</definedName>
    <definedName name="________RG3">#REF!</definedName>
    <definedName name="________RG4" localSheetId="4">#REF!</definedName>
    <definedName name="________RG4">#REF!</definedName>
    <definedName name="_______ALL2">'[1]A-11a Balance Sheet Recons'!$B$11:$J$42</definedName>
    <definedName name="_______RG1" localSheetId="4">#REF!</definedName>
    <definedName name="_______RG1">#REF!</definedName>
    <definedName name="_______RG2" localSheetId="4">#REF!</definedName>
    <definedName name="_______RG2">#REF!</definedName>
    <definedName name="_______RG3" localSheetId="4">#REF!</definedName>
    <definedName name="_______RG3">#REF!</definedName>
    <definedName name="_______RG4" localSheetId="4">#REF!</definedName>
    <definedName name="_______RG4">#REF!</definedName>
    <definedName name="______ALL2">'[1]A-11a Balance Sheet Recons'!$B$11:$J$42</definedName>
    <definedName name="______RG1" localSheetId="4">#REF!</definedName>
    <definedName name="______RG1">#REF!</definedName>
    <definedName name="______RG2" localSheetId="4">#REF!</definedName>
    <definedName name="______RG2">#REF!</definedName>
    <definedName name="______RG3" localSheetId="4">#REF!</definedName>
    <definedName name="______RG3">#REF!</definedName>
    <definedName name="______RG4" localSheetId="4">#REF!</definedName>
    <definedName name="______RG4">#REF!</definedName>
    <definedName name="_____ALL2">'[1]A-11a Balance Sheet Recons'!$B$11:$J$42</definedName>
    <definedName name="_____RG1" localSheetId="4">#REF!</definedName>
    <definedName name="_____RG1">#REF!</definedName>
    <definedName name="_____RG2" localSheetId="4">#REF!</definedName>
    <definedName name="_____RG2">#REF!</definedName>
    <definedName name="_____RG3" localSheetId="4">#REF!</definedName>
    <definedName name="_____RG3">#REF!</definedName>
    <definedName name="_____RG4" localSheetId="4">#REF!</definedName>
    <definedName name="_____RG4">#REF!</definedName>
    <definedName name="____ALL2">'[1]A-11a Balance Sheet Recons'!$B$11:$J$42</definedName>
    <definedName name="____RG1" localSheetId="4">#REF!</definedName>
    <definedName name="____RG1">#REF!</definedName>
    <definedName name="____RG2" localSheetId="4">#REF!</definedName>
    <definedName name="____RG2">#REF!</definedName>
    <definedName name="____RG3" localSheetId="4">#REF!</definedName>
    <definedName name="____RG3">#REF!</definedName>
    <definedName name="____RG4" localSheetId="4">#REF!</definedName>
    <definedName name="____RG4">#REF!</definedName>
    <definedName name="___ALL2">'[1]A-11a Balance Sheet Recons'!$B$11:$J$42</definedName>
    <definedName name="___RG1" localSheetId="4">#REF!</definedName>
    <definedName name="___RG1">#REF!</definedName>
    <definedName name="___RG2" localSheetId="4">#REF!</definedName>
    <definedName name="___RG2">#REF!</definedName>
    <definedName name="___RG3" localSheetId="4">#REF!</definedName>
    <definedName name="___RG3">#REF!</definedName>
    <definedName name="___RG4" localSheetId="4">#REF!</definedName>
    <definedName name="___RG4">#REF!</definedName>
    <definedName name="__ALL2">'[1]A-11a Balance Sheet Recons'!$B$11:$J$42</definedName>
    <definedName name="__RG1" localSheetId="4">#REF!</definedName>
    <definedName name="__RG1">#REF!</definedName>
    <definedName name="__RG2" localSheetId="4">#REF!</definedName>
    <definedName name="__RG2">#REF!</definedName>
    <definedName name="__RG3" localSheetId="4">#REF!</definedName>
    <definedName name="__RG3">#REF!</definedName>
    <definedName name="__RG4" localSheetId="4">#REF!</definedName>
    <definedName name="__RG4">#REF!</definedName>
    <definedName name="_12_MONTHS" localSheetId="4">#REF!</definedName>
    <definedName name="_12_MONTHS">#REF!</definedName>
    <definedName name="_12_PAGE_25MO" localSheetId="4">#REF!</definedName>
    <definedName name="_12_PAGE_25MO">#REF!</definedName>
    <definedName name="_ALL2">'[1]A-11a Balance Sheet Recons'!$B$11:$J$42</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13</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OW1" localSheetId="4">#REF!</definedName>
    <definedName name="_COW1">#REF!</definedName>
    <definedName name="_COW2" localSheetId="4">#REF!</definedName>
    <definedName name="_COW2">#REF!</definedName>
    <definedName name="_Fill" localSheetId="4" hidden="1">#REF!</definedName>
    <definedName name="_Fill" hidden="1">#REF!</definedName>
    <definedName name="_xlnm._FilterDatabase" localSheetId="17" hidden="1">'143O&amp;M'!$M$1:$M$594</definedName>
    <definedName name="_Key1" localSheetId="4" hidden="1">'[2]Journal Entry'!#REF!</definedName>
    <definedName name="_Key1" hidden="1">'[2]Journal Entry'!#REF!</definedName>
    <definedName name="_Key2" localSheetId="4" hidden="1">'[2]Journal Entry'!#REF!</definedName>
    <definedName name="_Key2" hidden="1">'[2]Journal Entry'!#REF!</definedName>
    <definedName name="_Order1" hidden="1">255</definedName>
    <definedName name="_Order2" hidden="1">255</definedName>
    <definedName name="_ppp1" localSheetId="4">#REF!</definedName>
    <definedName name="_ppp1">#REF!</definedName>
    <definedName name="_ppp2" localSheetId="4">#REF!</definedName>
    <definedName name="_ppp2">#REF!</definedName>
    <definedName name="_ppp3" localSheetId="4">#REF!</definedName>
    <definedName name="_ppp3">#REF!</definedName>
    <definedName name="_RG1" localSheetId="4">#REF!</definedName>
    <definedName name="_RG1">#REF!</definedName>
    <definedName name="_RG2" localSheetId="4">#REF!</definedName>
    <definedName name="_RG2">#REF!</definedName>
    <definedName name="_RG3" localSheetId="4">#REF!</definedName>
    <definedName name="_RG3">#REF!</definedName>
    <definedName name="_RG4" localSheetId="4">#REF!</definedName>
    <definedName name="_RG4">#REF!</definedName>
    <definedName name="_ST1" localSheetId="4">#REF!</definedName>
    <definedName name="_ST1">#REF!</definedName>
    <definedName name="_ST2" localSheetId="4">#REF!</definedName>
    <definedName name="_ST2">#REF!</definedName>
    <definedName name="_SUB1" localSheetId="4">#REF!</definedName>
    <definedName name="_SUB1">#REF!</definedName>
    <definedName name="_SUB2" localSheetId="4">#REF!</definedName>
    <definedName name="_SUB2">#REF!</definedName>
    <definedName name="_SUB3" localSheetId="4">#REF!</definedName>
    <definedName name="_SUB3">#REF!</definedName>
    <definedName name="_SUB4" localSheetId="4">#REF!</definedName>
    <definedName name="_SUB4">#REF!</definedName>
    <definedName name="_SUB5" localSheetId="4">#REF!</definedName>
    <definedName name="_SUB5">#REF!</definedName>
    <definedName name="_SUB6" localSheetId="4">#REF!</definedName>
    <definedName name="_SUB6">#REF!</definedName>
    <definedName name="_SUB8" localSheetId="4">#REF!</definedName>
    <definedName name="_SUB8">#REF!</definedName>
    <definedName name="_SW1" localSheetId="4">#REF!</definedName>
    <definedName name="_SW1">#REF!</definedName>
    <definedName name="_SW2" localSheetId="4">#REF!</definedName>
    <definedName name="_SW2">#REF!</definedName>
    <definedName name="_TRY2">#REF!</definedName>
    <definedName name="_try3">#REF!</definedName>
    <definedName name="_try4">#REF!</definedName>
    <definedName name="_TRY6">#REF!</definedName>
    <definedName name="_try8">#REF!</definedName>
    <definedName name="AADTGrowth">[3]Assumptions!$C$3</definedName>
    <definedName name="ABBREV_DATE" localSheetId="4">#REF!</definedName>
    <definedName name="ABBREV_DATE">#REF!</definedName>
    <definedName name="abc">#REF!</definedName>
    <definedName name="adb">#REF!</definedName>
    <definedName name="Adds" localSheetId="4">#REF!</definedName>
    <definedName name="Adds">#REF!</definedName>
    <definedName name="AFD">#REF!</definedName>
    <definedName name="AnsCoEstFacSz" localSheetId="4">[4]Inputs!#REF!</definedName>
    <definedName name="AnsCoEstFacSz">[4]Inputs!#REF!</definedName>
    <definedName name="asp">#REF!</definedName>
    <definedName name="ASSIGN" localSheetId="4">#REF!</definedName>
    <definedName name="ASSIGN">#REF!</definedName>
    <definedName name="B_4" localSheetId="4">#REF!</definedName>
    <definedName name="B_4">#REF!</definedName>
    <definedName name="B_5" localSheetId="4">#REF!</definedName>
    <definedName name="B_5">#REF!</definedName>
    <definedName name="BEGINNING" localSheetId="4">#REF!</definedName>
    <definedName name="BEGINNING">#REF!</definedName>
    <definedName name="BEx3O85IKWARA6NCJOLRBRJFMEWW" localSheetId="4" hidden="1">'[5]Q2 09 Rail BS Leads'!#REF!</definedName>
    <definedName name="BEx3O85IKWARA6NCJOLRBRJFMEWW" hidden="1">'[5]Q2 09 Rail BS Leads'!#REF!</definedName>
    <definedName name="BEx5MLQZM68YQSKARVWTTPINFQ2C" localSheetId="4" hidden="1">'[5]Q2 09 Rail BS Leads'!#REF!</definedName>
    <definedName name="BEx5MLQZM68YQSKARVWTTPINFQ2C" hidden="1">'[5]Q2 09 Rail BS Leads'!#REF!</definedName>
    <definedName name="BExERWCEBKQRYWRQLYJ4UCMMKTHG" localSheetId="4" hidden="1">'[5]Q2 09 Rail BS Leads'!#REF!</definedName>
    <definedName name="BExERWCEBKQRYWRQLYJ4UCMMKTHG" hidden="1">'[5]Q2 09 Rail BS Leads'!#REF!</definedName>
    <definedName name="BExMBYPQDG9AYDQ5E8IECVFREPO6" localSheetId="4" hidden="1">'[5]Q2 09 Rail BS Leads'!#REF!</definedName>
    <definedName name="BExMBYPQDG9AYDQ5E8IECVFREPO6" hidden="1">'[5]Q2 09 Rail BS Leads'!#REF!</definedName>
    <definedName name="BExQ9ZLYHWABXAA9NJDW8ZS0UQ9P" localSheetId="4" hidden="1">'[5]Q2 09 Rail BS Leads'!#REF!</definedName>
    <definedName name="BExQ9ZLYHWABXAA9NJDW8ZS0UQ9P" hidden="1">'[5]Q2 09 Rail BS Leads'!#REF!</definedName>
    <definedName name="BExTUY9WNSJ91GV8CP0SKJTEIV82" localSheetId="4" hidden="1">'[5]Q2 09 Rail BS Leads'!#REF!</definedName>
    <definedName name="BExTUY9WNSJ91GV8CP0SKJTEIV82" hidden="1">'[5]Q2 09 Rail BS Leads'!#REF!</definedName>
    <definedName name="bob" localSheetId="4">#REF!</definedName>
    <definedName name="bob">#REF!</definedName>
    <definedName name="BS_98" localSheetId="4">#REF!</definedName>
    <definedName name="BS_98">#REF!</definedName>
    <definedName name="BS_99" localSheetId="4">#REF!</definedName>
    <definedName name="BS_99">#REF!</definedName>
    <definedName name="BS_SUM_25MO" localSheetId="4">#REF!</definedName>
    <definedName name="BS_SUM_25MO">#REF!</definedName>
    <definedName name="BS_SUM_98" localSheetId="4">#REF!</definedName>
    <definedName name="BS_SUM_98">#REF!</definedName>
    <definedName name="BS_SUM_99" localSheetId="4">#REF!</definedName>
    <definedName name="BS_SUM_99">#REF!</definedName>
    <definedName name="CBS" localSheetId="4">#REF!</definedName>
    <definedName name="CBS">#REF!</definedName>
    <definedName name="COLE" localSheetId="4">#REF!</definedName>
    <definedName name="COLE">#REF!</definedName>
    <definedName name="COMBO_EW">#REF!</definedName>
    <definedName name="CRAP">#REF!</definedName>
    <definedName name="crap2">#REF!</definedName>
    <definedName name="_xlnm.Criteria" localSheetId="4">#REF!</definedName>
    <definedName name="_xlnm.Criteria">#REF!</definedName>
    <definedName name="CURRENT_DATE" localSheetId="4">#REF!</definedName>
    <definedName name="CURRENT_DATE">#REF!</definedName>
    <definedName name="Current_Fiscal_Year">[6]Inputs!$C$5</definedName>
    <definedName name="DATA" localSheetId="4">#REF!</definedName>
    <definedName name="DATA">#REF!</definedName>
    <definedName name="_xlnm.Database" localSheetId="4">#REF!</definedName>
    <definedName name="_xlnm.Database">#REF!</definedName>
    <definedName name="DecComICC" localSheetId="4">#REF!</definedName>
    <definedName name="DecComICC">#REF!</definedName>
    <definedName name="DecComInstall" localSheetId="4">#REF!</definedName>
    <definedName name="DecComInstall">#REF!</definedName>
    <definedName name="Detail" localSheetId="4">#REF!</definedName>
    <definedName name="Detail">#REF!</definedName>
    <definedName name="DISC_RATE">[3]Assumptions!$C$5</definedName>
    <definedName name="ee">#REF!</definedName>
    <definedName name="ENDING" localSheetId="4">#REF!</definedName>
    <definedName name="ENDING">#REF!</definedName>
    <definedName name="EPR" localSheetId="4">#REF!</definedName>
    <definedName name="EPR">#REF!</definedName>
    <definedName name="_xlnm.Extract" localSheetId="4">#REF!</definedName>
    <definedName name="_xlnm.Extract">#REF!</definedName>
    <definedName name="formula" localSheetId="4">#REF!</definedName>
    <definedName name="formula">#REF!</definedName>
    <definedName name="furbase" localSheetId="4">#REF!</definedName>
    <definedName name="furbase">#REF!</definedName>
    <definedName name="FURN" localSheetId="4">#REF!</definedName>
    <definedName name="FURN">#REF!</definedName>
    <definedName name="furnish" localSheetId="4">#REF!</definedName>
    <definedName name="furnish">#REF!</definedName>
    <definedName name="furnmat" localSheetId="4">#REF!</definedName>
    <definedName name="furnmat">#REF!</definedName>
    <definedName name="GENERAL" localSheetId="4">#REF!</definedName>
    <definedName name="GENERAL">#REF!</definedName>
    <definedName name="GG">#REF!</definedName>
    <definedName name="GGG">#REF!</definedName>
    <definedName name="ICCConv">'[7]ICC Conversion'!$A$1:$B$191</definedName>
    <definedName name="IMPORT" localSheetId="4">#REF!</definedName>
    <definedName name="IMPORT">#REF!</definedName>
    <definedName name="Inflation_Percentages">[6]Inputs!$C$32:$C$81</definedName>
    <definedName name="Inflation_Years">[6]Inputs!$B$32:$B$81</definedName>
    <definedName name="infor" localSheetId="4">#REF!</definedName>
    <definedName name="infor">#REF!</definedName>
    <definedName name="item" localSheetId="4">#REF!</definedName>
    <definedName name="item">#REF!</definedName>
    <definedName name="k7." localSheetId="4">#REF!</definedName>
    <definedName name="k7.">#REF!</definedName>
    <definedName name="kjh">#REF!</definedName>
    <definedName name="LEADS" localSheetId="4">#REF!</definedName>
    <definedName name="LEADS">#REF!</definedName>
    <definedName name="LEADS_25MO" localSheetId="4">#REF!</definedName>
    <definedName name="LEADS_25MO">#REF!</definedName>
    <definedName name="LEADS_98" localSheetId="4">#REF!</definedName>
    <definedName name="LEADS_98">#REF!</definedName>
    <definedName name="LEADS_99" localSheetId="4">#REF!</definedName>
    <definedName name="LEADS_99">#REF!</definedName>
    <definedName name="LOLD">1</definedName>
    <definedName name="LOLD_Table">7</definedName>
    <definedName name="mike" localSheetId="4">#REF!</definedName>
    <definedName name="mike">#REF!</definedName>
    <definedName name="mobil1" localSheetId="4">#REF!</definedName>
    <definedName name="mobil1">#REF!</definedName>
    <definedName name="NC_Counties">[8]County!$A$3:$A$102</definedName>
    <definedName name="NEXT" localSheetId="4">#REF!</definedName>
    <definedName name="NEXT">#REF!</definedName>
    <definedName name="Normal" localSheetId="4">#REF!</definedName>
    <definedName name="Normal">#REF!</definedName>
    <definedName name="number" localSheetId="4">#REF!</definedName>
    <definedName name="number">#REF!</definedName>
    <definedName name="OPER1" localSheetId="4">#REF!</definedName>
    <definedName name="OPER1">#REF!</definedName>
    <definedName name="OPER2" localSheetId="4">#REF!</definedName>
    <definedName name="OPER2">#REF!</definedName>
    <definedName name="PAGE_33" localSheetId="4">#REF!</definedName>
    <definedName name="PAGE_33">#REF!</definedName>
    <definedName name="PAGE1" localSheetId="4">#REF!</definedName>
    <definedName name="PAGE1">#REF!</definedName>
    <definedName name="PAGE2" localSheetId="4">#REF!</definedName>
    <definedName name="PAGE2">#REF!</definedName>
    <definedName name="PAGE32" localSheetId="4">#REF!</definedName>
    <definedName name="PAGE32">#REF!</definedName>
    <definedName name="PAGE37" localSheetId="4">#REF!</definedName>
    <definedName name="PAGE37">#REF!</definedName>
    <definedName name="PART_B" localSheetId="4">#REF!</definedName>
    <definedName name="PART_B">#REF!</definedName>
    <definedName name="PARTA" localSheetId="4">#REF!</definedName>
    <definedName name="PARTA">#REF!</definedName>
    <definedName name="PAY_LIST">#REF!</definedName>
    <definedName name="PISNU" localSheetId="4">#REF!</definedName>
    <definedName name="PISNU">#REF!</definedName>
    <definedName name="PMPeakDirection">'[9]Quadrant (AM_PM)'!$N$78:$N$79</definedName>
    <definedName name="ppp" localSheetId="4">#REF!</definedName>
    <definedName name="ppp">#REF!</definedName>
    <definedName name="price" localSheetId="4">#REF!</definedName>
    <definedName name="price">#REF!</definedName>
    <definedName name="PRINT_ALL" localSheetId="4">#REF!</definedName>
    <definedName name="PRINT_ALL">#REF!</definedName>
    <definedName name="_xlnm.Print_Area">#REF!</definedName>
    <definedName name="PRINT_AREA_MI" localSheetId="4">#REF!</definedName>
    <definedName name="PRINT_AREA_MI">#REF!</definedName>
    <definedName name="PRINT_CF_9899" localSheetId="4">#REF!</definedName>
    <definedName name="PRINT_CF_9899">#REF!</definedName>
    <definedName name="PRINT_DIFF" localSheetId="4">#REF!</definedName>
    <definedName name="PRINT_DIFF">#REF!</definedName>
    <definedName name="_xlnm.Print_Titles">#N/A</definedName>
    <definedName name="Print_Titles_MI">'[10]PA Run Off'!$A$1:$IV$10,'[10]PA Run Off'!$A$1:$A$16384</definedName>
    <definedName name="PRT_12_PAGE_25M" localSheetId="4">#REF!</definedName>
    <definedName name="PRT_12_PAGE_25M">#REF!</definedName>
    <definedName name="PRT_98_WCRECON" localSheetId="4">#REF!</definedName>
    <definedName name="PRT_98_WCRECON">#REF!</definedName>
    <definedName name="PRT_99_WCRECON" localSheetId="4">#REF!</definedName>
    <definedName name="PRT_99_WCRECON">#REF!</definedName>
    <definedName name="PRT_BS_98" localSheetId="4">#REF!</definedName>
    <definedName name="PRT_BS_98">#REF!</definedName>
    <definedName name="PRT_BS_99" localSheetId="4">#REF!</definedName>
    <definedName name="PRT_BS_99">#REF!</definedName>
    <definedName name="PRT_BS_SUM_25MO" localSheetId="4">#REF!</definedName>
    <definedName name="PRT_BS_SUM_25MO">#REF!</definedName>
    <definedName name="PRT_BSSUM_98" localSheetId="4">#REF!</definedName>
    <definedName name="PRT_BSSUM_98">#REF!</definedName>
    <definedName name="PRT_BSSUM_99" localSheetId="4">#REF!</definedName>
    <definedName name="PRT_BSSUM_99">#REF!</definedName>
    <definedName name="PRT_CF_1998" localSheetId="4">#REF!</definedName>
    <definedName name="PRT_CF_1998">#REF!</definedName>
    <definedName name="PRT_CF_1999" localSheetId="4">#REF!</definedName>
    <definedName name="PRT_CF_1999">#REF!</definedName>
    <definedName name="PRT_CURR_MO" localSheetId="4">#REF!</definedName>
    <definedName name="PRT_CURR_MO">#REF!</definedName>
    <definedName name="PRT_LEAD_25MO" localSheetId="4">#REF!</definedName>
    <definedName name="PRT_LEAD_25MO">#REF!</definedName>
    <definedName name="PRT_LEAD_ACT_98" localSheetId="4">#REF!</definedName>
    <definedName name="PRT_LEAD_ACT_98">#REF!</definedName>
    <definedName name="PRT_LEAD_PLN_99" localSheetId="4">#REF!</definedName>
    <definedName name="PRT_LEAD_PLN_99">#REF!</definedName>
    <definedName name="PRT_NCA_98" localSheetId="4">#REF!</definedName>
    <definedName name="PRT_NCA_98">#REF!</definedName>
    <definedName name="PRT_NCA_99" localSheetId="4">#REF!</definedName>
    <definedName name="PRT_NCA_99">#REF!</definedName>
    <definedName name="PRT_QUARTER" localSheetId="4">#REF!</definedName>
    <definedName name="PRT_QUARTER">#REF!</definedName>
    <definedName name="Q1_VS_PLAN" localSheetId="4">#REF!</definedName>
    <definedName name="Q1_VS_PLAN">#REF!</definedName>
    <definedName name="Q2_VS_PLAN" localSheetId="4">#REF!</definedName>
    <definedName name="Q2_VS_PLAN">#REF!</definedName>
    <definedName name="Q3_VS_PLAN" localSheetId="4">#REF!</definedName>
    <definedName name="Q3_VS_PLAN">#REF!</definedName>
    <definedName name="Q4_VS_PLAN" localSheetId="4">#REF!</definedName>
    <definedName name="Q4_VS_PLAN">#REF!</definedName>
    <definedName name="qty" localSheetId="4">#REF!</definedName>
    <definedName name="qty">#REF!</definedName>
    <definedName name="Rate">[11]LocoRate!$L$2:$P$4</definedName>
    <definedName name="Rates">'[12]Rate file'!$A$6:$F$1250</definedName>
    <definedName name="RETIREMENTS" localSheetId="4">#REF!</definedName>
    <definedName name="RETIREMENTS">#REF!</definedName>
    <definedName name="Retires" localSheetId="4">#REF!</definedName>
    <definedName name="Retires">#REF!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TRUE</definedName>
    <definedName name="RiskMonitorConvergence" hidden="1">TRUE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TRUE</definedName>
    <definedName name="RiskUseMultipleCPUs" hidden="1">TRUE</definedName>
    <definedName name="ROSNU" localSheetId="4">#REF!</definedName>
    <definedName name="ROSNU">#REF!</definedName>
    <definedName name="rr">#REF!</definedName>
    <definedName name="rrr">#REF!</definedName>
    <definedName name="SAPBEXhrIndnt" hidden="1">"Wide"</definedName>
    <definedName name="SAPsysID" hidden="1">"708C5W7SBKP804JT78WJ0JNKI"</definedName>
    <definedName name="SAPwbID" hidden="1">"ARS"</definedName>
    <definedName name="SB_5_B_" localSheetId="4">#REF!</definedName>
    <definedName name="SB_5_B_">#REF!</definedName>
    <definedName name="SEC_12R1" localSheetId="4">#REF!</definedName>
    <definedName name="SEC_12R1">#REF!</definedName>
    <definedName name="SEC_12R2" localSheetId="4">#REF!</definedName>
    <definedName name="SEC_12R2">#REF!</definedName>
    <definedName name="SEC_12S" localSheetId="4">#REF!</definedName>
    <definedName name="SEC_12S">#REF!</definedName>
    <definedName name="SEC_13T1" localSheetId="4">#REF!</definedName>
    <definedName name="SEC_13T1">#REF!</definedName>
    <definedName name="SEC_13T2" localSheetId="4">#REF!</definedName>
    <definedName name="SEC_13T2">#REF!</definedName>
    <definedName name="SEC_13T2D" localSheetId="4">#REF!</definedName>
    <definedName name="SEC_13T2D">#REF!</definedName>
    <definedName name="SEC_5E" localSheetId="4">#REF!</definedName>
    <definedName name="SEC_5E">#REF!</definedName>
    <definedName name="SEC_5F" localSheetId="4">#REF!</definedName>
    <definedName name="SEC_5F">#REF!</definedName>
    <definedName name="SEC_5G" localSheetId="4">#REF!</definedName>
    <definedName name="SEC_5G">#REF!</definedName>
    <definedName name="SEC_6H" localSheetId="4">#REF!</definedName>
    <definedName name="SEC_6H">#REF!</definedName>
    <definedName name="SEC_6H7" localSheetId="4">#REF!</definedName>
    <definedName name="SEC_6H7">#REF!</definedName>
    <definedName name="SEC_7I1" localSheetId="4">#REF!</definedName>
    <definedName name="SEC_7I1">#REF!</definedName>
    <definedName name="SEC_7I2" localSheetId="4">#REF!</definedName>
    <definedName name="SEC_7I2">#REF!</definedName>
    <definedName name="SEC_7I3" localSheetId="4">#REF!</definedName>
    <definedName name="SEC_7I3">#REF!</definedName>
    <definedName name="SEC_7I4" localSheetId="4">#REF!</definedName>
    <definedName name="SEC_7I4">#REF!</definedName>
    <definedName name="SEC_7I5" localSheetId="4">#REF!</definedName>
    <definedName name="SEC_7I5">#REF!</definedName>
    <definedName name="SEC_7I6" localSheetId="4">#REF!</definedName>
    <definedName name="SEC_7I6">#REF!</definedName>
    <definedName name="SEC_7I7" localSheetId="4">#REF!</definedName>
    <definedName name="SEC_7I7">#REF!</definedName>
    <definedName name="SEC_7I8" localSheetId="4">#REF!</definedName>
    <definedName name="SEC_7I8">#REF!</definedName>
    <definedName name="SEC_8J1" localSheetId="4">#REF!</definedName>
    <definedName name="SEC_8J1">#REF!</definedName>
    <definedName name="SEC_8J2" localSheetId="4">#REF!</definedName>
    <definedName name="SEC_8J2">#REF!</definedName>
    <definedName name="SEC_8K" localSheetId="4">#REF!</definedName>
    <definedName name="SEC_8K">#REF!</definedName>
    <definedName name="SEC_8L" localSheetId="4">#REF!</definedName>
    <definedName name="SEC_8L">#REF!</definedName>
    <definedName name="select" localSheetId="4">#REF!</definedName>
    <definedName name="select">#REF!</definedName>
    <definedName name="Sheet">#REF!</definedName>
    <definedName name="SHEET_CHOICE" localSheetId="4">#REF!</definedName>
    <definedName name="SHEET_CHOICE">#REF!</definedName>
    <definedName name="SHEET1" localSheetId="4">#REF!</definedName>
    <definedName name="SHEET1">#REF!</definedName>
    <definedName name="SHEET2" localSheetId="4">#REF!</definedName>
    <definedName name="SHEET2">#REF!</definedName>
    <definedName name="SHEET3" localSheetId="4">#REF!</definedName>
    <definedName name="SHEET3">#REF!</definedName>
    <definedName name="SHEET4" localSheetId="4">#REF!</definedName>
    <definedName name="SHEET4">#REF!</definedName>
    <definedName name="SHEET5A" localSheetId="4">#REF!</definedName>
    <definedName name="SHEET5A">#REF!</definedName>
    <definedName name="SHEET5B" localSheetId="4">#REF!</definedName>
    <definedName name="SHEET5B">#REF!</definedName>
    <definedName name="SHEET5C" localSheetId="4">#REF!</definedName>
    <definedName name="SHEET5C">#REF!</definedName>
    <definedName name="SHEET5D" localSheetId="4">#REF!</definedName>
    <definedName name="SHEET5D">#REF!</definedName>
    <definedName name="SHEET6" localSheetId="4">#REF!</definedName>
    <definedName name="SHEET6">#REF!</definedName>
    <definedName name="Spanner_Auto_File">"T:\139407\NDM\ROR\DRAWING\des_road.x2a"</definedName>
    <definedName name="Spanner_Auto_Select">#REF!</definedName>
    <definedName name="SSS">#REF!</definedName>
    <definedName name="Starting_Fiscal_Year">[6]Inputs!$C$6</definedName>
    <definedName name="sub">#REF!</definedName>
    <definedName name="SUB7L" localSheetId="4">#REF!</definedName>
    <definedName name="SUB7L">#REF!</definedName>
    <definedName name="supp" localSheetId="4">#REF!</definedName>
    <definedName name="supp">#REF!</definedName>
    <definedName name="suppbase" localSheetId="4">#REF!</definedName>
    <definedName name="suppbase">#REF!</definedName>
    <definedName name="SUPPL" localSheetId="4">#REF!</definedName>
    <definedName name="SUPPL">#REF!</definedName>
    <definedName name="supplem" localSheetId="4">#REF!</definedName>
    <definedName name="supplem">#REF!</definedName>
    <definedName name="T">#REF!</definedName>
    <definedName name="TITLE" localSheetId="4">#REF!</definedName>
    <definedName name="TITLE">#REF!</definedName>
    <definedName name="TOTAL" localSheetId="4">#REF!</definedName>
    <definedName name="TOTAL">#REF!</definedName>
    <definedName name="TRY">#REF!</definedName>
    <definedName name="ttt">#REF!</definedName>
    <definedName name="ttu">#REF!</definedName>
    <definedName name="tty">#REF!</definedName>
    <definedName name="Typ" localSheetId="4">#REF!</definedName>
    <definedName name="Typ">#REF!</definedName>
    <definedName name="Type" localSheetId="4">#REF!</definedName>
    <definedName name="Type">#REF!</definedName>
    <definedName name="UPDATE" localSheetId="4">#REF!</definedName>
    <definedName name="UPDATE">#REF!</definedName>
    <definedName name="VEH_OCC">[3]Assumptions!$C$6</definedName>
    <definedName name="Version" localSheetId="4">#REF!</definedName>
    <definedName name="Version">#REF!</definedName>
    <definedName name="XXX">#REF!</definedName>
    <definedName name="xxx1" localSheetId="4">#REF!</definedName>
    <definedName name="xxx1">#REF!</definedName>
    <definedName name="YTD" localSheetId="4">#REF!</definedName>
    <definedName name="YTD">#REF!</definedName>
    <definedName name="zzz1" localSheetId="4">#REF!</definedName>
    <definedName name="zzz1">#REF!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5" i="1" l="1"/>
  <c r="C20" i="21"/>
  <c r="E40" i="37"/>
  <c r="E41" i="37"/>
  <c r="E42" i="37"/>
  <c r="E43" i="37"/>
  <c r="E44" i="37"/>
  <c r="E45" i="37"/>
  <c r="E46" i="37"/>
  <c r="E47" i="37"/>
  <c r="E48" i="37"/>
  <c r="E49" i="37"/>
  <c r="E50" i="37"/>
  <c r="E51" i="37"/>
  <c r="E52" i="37"/>
  <c r="E53" i="37"/>
  <c r="E54" i="37"/>
  <c r="E55" i="37"/>
  <c r="E56" i="37"/>
  <c r="E57" i="37"/>
  <c r="E58" i="37"/>
  <c r="E39" i="37"/>
  <c r="E17" i="37"/>
  <c r="E18" i="37"/>
  <c r="E19" i="37"/>
  <c r="E20" i="37"/>
  <c r="E21" i="37"/>
  <c r="E22" i="37"/>
  <c r="E23" i="37"/>
  <c r="E24" i="37"/>
  <c r="E25" i="37"/>
  <c r="E26" i="37"/>
  <c r="E27" i="37"/>
  <c r="E28" i="37"/>
  <c r="E29" i="37"/>
  <c r="E30" i="37"/>
  <c r="E31" i="37"/>
  <c r="E32" i="37"/>
  <c r="E33" i="37"/>
  <c r="E34" i="37"/>
  <c r="E35" i="37"/>
  <c r="E16" i="37"/>
  <c r="C10" i="21"/>
  <c r="B18" i="3"/>
  <c r="B3" i="29"/>
  <c r="B11" i="39" l="1"/>
  <c r="B15" i="39"/>
  <c r="C21" i="41"/>
  <c r="C16" i="41"/>
  <c r="B16" i="41"/>
  <c r="E23" i="41"/>
  <c r="B21" i="41"/>
  <c r="G24" i="20"/>
  <c r="H5" i="20"/>
  <c r="H101" i="35"/>
  <c r="H102" i="35"/>
  <c r="H103" i="35"/>
  <c r="H104" i="35"/>
  <c r="G102" i="35"/>
  <c r="G103" i="35"/>
  <c r="G104" i="35"/>
  <c r="G105" i="35"/>
  <c r="H105" i="35"/>
  <c r="G106" i="35"/>
  <c r="H106" i="35"/>
  <c r="G107" i="35"/>
  <c r="H107" i="35"/>
  <c r="G108" i="35"/>
  <c r="H108" i="35"/>
  <c r="G109" i="35"/>
  <c r="H109" i="35"/>
  <c r="G110" i="35"/>
  <c r="H110" i="35"/>
  <c r="G111" i="35"/>
  <c r="H111" i="35"/>
  <c r="G112" i="35"/>
  <c r="H112" i="35"/>
  <c r="G113" i="35"/>
  <c r="H113" i="35"/>
  <c r="G114" i="35"/>
  <c r="H114" i="35"/>
  <c r="G115" i="35"/>
  <c r="H115" i="35"/>
  <c r="G116" i="35"/>
  <c r="H116" i="35"/>
  <c r="G117" i="35"/>
  <c r="H117" i="35"/>
  <c r="G118" i="35"/>
  <c r="H118" i="35"/>
  <c r="G119" i="35"/>
  <c r="H119" i="35"/>
  <c r="G120" i="35"/>
  <c r="H120" i="35"/>
  <c r="G101" i="35"/>
  <c r="F102" i="35"/>
  <c r="F103" i="35"/>
  <c r="F104" i="35"/>
  <c r="F105" i="35"/>
  <c r="F106" i="35"/>
  <c r="F107" i="35"/>
  <c r="F108" i="35"/>
  <c r="F109" i="35"/>
  <c r="F110" i="35"/>
  <c r="F111" i="35"/>
  <c r="F112" i="35"/>
  <c r="F113" i="35"/>
  <c r="F114" i="35"/>
  <c r="F115" i="35"/>
  <c r="F116" i="35"/>
  <c r="F117" i="35"/>
  <c r="F118" i="35"/>
  <c r="F119" i="35"/>
  <c r="F120" i="35"/>
  <c r="F101" i="35"/>
  <c r="E94" i="35"/>
  <c r="E95" i="35" s="1"/>
  <c r="E96" i="35" s="1"/>
  <c r="E97" i="35" s="1"/>
  <c r="E98" i="35" s="1"/>
  <c r="E99" i="35" s="1"/>
  <c r="E100" i="35" s="1"/>
  <c r="E101" i="35" s="1"/>
  <c r="E102" i="35" s="1"/>
  <c r="E103" i="35" s="1"/>
  <c r="E104" i="35" s="1"/>
  <c r="E105" i="35" s="1"/>
  <c r="E106" i="35" s="1"/>
  <c r="E107" i="35" s="1"/>
  <c r="E108" i="35" s="1"/>
  <c r="E109" i="35" s="1"/>
  <c r="E110" i="35" s="1"/>
  <c r="E111" i="35" s="1"/>
  <c r="E112" i="35" s="1"/>
  <c r="E113" i="35" s="1"/>
  <c r="E114" i="35" s="1"/>
  <c r="E115" i="35" s="1"/>
  <c r="E116" i="35" s="1"/>
  <c r="E117" i="35" s="1"/>
  <c r="E118" i="35" s="1"/>
  <c r="E119" i="35" s="1"/>
  <c r="E120" i="35" s="1"/>
  <c r="E93" i="35"/>
  <c r="B15" i="43"/>
  <c r="S605" i="48"/>
  <c r="S602" i="48"/>
  <c r="R602" i="48"/>
  <c r="Q602" i="48"/>
  <c r="B13" i="43" l="1"/>
  <c r="C23" i="43" s="1"/>
  <c r="W5" i="55"/>
  <c r="V5" i="55"/>
  <c r="D9" i="55"/>
  <c r="F29" i="55"/>
  <c r="B10" i="47"/>
  <c r="B8" i="37" l="1"/>
  <c r="B10" i="43"/>
  <c r="D23" i="43" s="1"/>
  <c r="E17" i="39"/>
  <c r="B20" i="39" s="1"/>
  <c r="B21" i="39" s="1"/>
  <c r="E7" i="44"/>
  <c r="D7" i="44"/>
  <c r="B13" i="42"/>
  <c r="B14" i="42"/>
  <c r="B12" i="42"/>
  <c r="A11" i="47"/>
  <c r="J34" i="54"/>
  <c r="B23" i="3" s="1"/>
  <c r="F32" i="54"/>
  <c r="F31" i="54"/>
  <c r="F30" i="54"/>
  <c r="C31" i="54"/>
  <c r="C26" i="54"/>
  <c r="E25" i="54"/>
  <c r="B8" i="31"/>
  <c r="S604" i="48"/>
  <c r="Q601" i="48"/>
  <c r="B7" i="31"/>
  <c r="B9" i="37"/>
  <c r="B10" i="37"/>
  <c r="B11" i="37"/>
  <c r="A11" i="37"/>
  <c r="A10" i="37"/>
  <c r="A9" i="37"/>
  <c r="C3" i="22"/>
  <c r="C26" i="22" s="1"/>
  <c r="C4" i="22"/>
  <c r="E26" i="22" s="1"/>
  <c r="L3" i="22"/>
  <c r="L4" i="22"/>
  <c r="L5" i="22"/>
  <c r="L6" i="22"/>
  <c r="C6" i="22"/>
  <c r="C3" i="12"/>
  <c r="C4" i="12"/>
  <c r="C12" i="41"/>
  <c r="C13" i="41"/>
  <c r="C19" i="13" s="1"/>
  <c r="C14" i="41"/>
  <c r="C15" i="41"/>
  <c r="B9" i="41"/>
  <c r="B8" i="41"/>
  <c r="B36" i="3"/>
  <c r="B11" i="47" s="1"/>
  <c r="B16" i="43"/>
  <c r="B17" i="43" s="1"/>
  <c r="C48" i="43" s="1"/>
  <c r="D30" i="54"/>
  <c r="E30" i="54"/>
  <c r="D31" i="54"/>
  <c r="D32" i="54"/>
  <c r="D33" i="54"/>
  <c r="F33" i="54"/>
  <c r="A11" i="12"/>
  <c r="B6" i="36"/>
  <c r="E16" i="39"/>
  <c r="I34" i="54"/>
  <c r="C31" i="22" l="1"/>
  <c r="C11" i="22"/>
  <c r="C13" i="36"/>
  <c r="D13" i="36" s="1"/>
  <c r="Q5" i="42" l="1"/>
  <c r="F4" i="42" s="1"/>
  <c r="F6" i="42" s="1"/>
  <c r="C9" i="42" s="1"/>
  <c r="C10" i="42" s="1"/>
  <c r="X5" i="55"/>
  <c r="Z5" i="55" s="1"/>
  <c r="X6" i="55"/>
  <c r="X7" i="55"/>
  <c r="Z7" i="55" s="1"/>
  <c r="X4" i="55"/>
  <c r="Z4" i="55" s="1"/>
  <c r="W7" i="55"/>
  <c r="V7" i="55"/>
  <c r="W6" i="55"/>
  <c r="V6" i="55"/>
  <c r="V4" i="55"/>
  <c r="W4" i="55"/>
  <c r="D4" i="55"/>
  <c r="D5" i="55"/>
  <c r="D6" i="55"/>
  <c r="D7" i="55"/>
  <c r="D8" i="55"/>
  <c r="D10" i="55"/>
  <c r="D11" i="55"/>
  <c r="D12" i="55"/>
  <c r="D13" i="55"/>
  <c r="D14" i="55"/>
  <c r="D15" i="55"/>
  <c r="D16" i="55"/>
  <c r="D17" i="55"/>
  <c r="D18" i="55"/>
  <c r="D19" i="55"/>
  <c r="D20" i="55"/>
  <c r="D21" i="55"/>
  <c r="D22" i="55"/>
  <c r="D23" i="55"/>
  <c r="D24" i="55"/>
  <c r="D25" i="55"/>
  <c r="D26" i="55"/>
  <c r="D27" i="55"/>
  <c r="D3" i="55"/>
  <c r="F28" i="55"/>
  <c r="G28" i="55"/>
  <c r="H28" i="55"/>
  <c r="I28" i="55"/>
  <c r="L28" i="55"/>
  <c r="M28" i="55"/>
  <c r="G29" i="55"/>
  <c r="H29" i="55"/>
  <c r="I29" i="55"/>
  <c r="L29" i="55"/>
  <c r="M29" i="55"/>
  <c r="Q599" i="48"/>
  <c r="C11" i="31"/>
  <c r="D26" i="54"/>
  <c r="E26" i="54" s="1"/>
  <c r="B20" i="3" s="1"/>
  <c r="C30" i="54"/>
  <c r="C34" i="54" s="1"/>
  <c r="E15" i="38"/>
  <c r="E16" i="38"/>
  <c r="E27" i="38"/>
  <c r="E28" i="38"/>
  <c r="E29" i="38"/>
  <c r="E18" i="38"/>
  <c r="E19" i="38"/>
  <c r="E21" i="38"/>
  <c r="E22" i="38"/>
  <c r="E24" i="38"/>
  <c r="E25" i="38"/>
  <c r="C33" i="54"/>
  <c r="C32" i="54"/>
  <c r="B9" i="49"/>
  <c r="C7" i="49"/>
  <c r="B31" i="54"/>
  <c r="B32" i="54" s="1"/>
  <c r="B33" i="54" s="1"/>
  <c r="E23" i="54"/>
  <c r="E22" i="54"/>
  <c r="E20" i="54"/>
  <c r="E19" i="54"/>
  <c r="E17" i="54"/>
  <c r="E16" i="54"/>
  <c r="E14" i="54"/>
  <c r="E13" i="54"/>
  <c r="E12" i="54"/>
  <c r="E10" i="54"/>
  <c r="E9" i="54"/>
  <c r="E7" i="54"/>
  <c r="E6" i="54"/>
  <c r="A60" i="29"/>
  <c r="K8" i="29" s="1"/>
  <c r="B7" i="49"/>
  <c r="J29" i="29"/>
  <c r="J30" i="29" s="1"/>
  <c r="J31" i="29" s="1"/>
  <c r="J32" i="29" s="1"/>
  <c r="J33" i="29" s="1"/>
  <c r="J24" i="29"/>
  <c r="J25" i="29" s="1"/>
  <c r="J26" i="29" s="1"/>
  <c r="J27" i="29" s="1"/>
  <c r="J19" i="29"/>
  <c r="J20" i="29" s="1"/>
  <c r="J21" i="29" s="1"/>
  <c r="J22" i="29" s="1"/>
  <c r="J14" i="29"/>
  <c r="J15" i="29" s="1"/>
  <c r="J16" i="29" s="1"/>
  <c r="J17" i="29" s="1"/>
  <c r="J10" i="29"/>
  <c r="J11" i="29" s="1"/>
  <c r="J12" i="29" s="1"/>
  <c r="J9" i="29"/>
  <c r="C15" i="49"/>
  <c r="B15" i="49"/>
  <c r="C14" i="49"/>
  <c r="B13" i="49"/>
  <c r="C12" i="49"/>
  <c r="B12" i="49"/>
  <c r="C11" i="49"/>
  <c r="B5" i="49"/>
  <c r="C4" i="49"/>
  <c r="B4" i="49"/>
  <c r="C3" i="49"/>
  <c r="B3" i="49"/>
  <c r="S601" i="48"/>
  <c r="S598" i="48"/>
  <c r="Q600" i="48"/>
  <c r="S600" i="48" s="1"/>
  <c r="S599" i="48"/>
  <c r="Q598" i="48"/>
  <c r="P598" i="48"/>
  <c r="P599" i="48" s="1"/>
  <c r="P600" i="48" s="1"/>
  <c r="P601" i="48" s="1"/>
  <c r="Q597" i="48"/>
  <c r="S597" i="48" s="1"/>
  <c r="U595" i="48"/>
  <c r="B15" i="3"/>
  <c r="F24" i="41"/>
  <c r="F25" i="41"/>
  <c r="F26" i="41"/>
  <c r="F23" i="41"/>
  <c r="E5" i="38"/>
  <c r="E6" i="38"/>
  <c r="E7" i="38"/>
  <c r="E9" i="38"/>
  <c r="E10" i="38"/>
  <c r="E11" i="38"/>
  <c r="E12" i="38"/>
  <c r="E13" i="38"/>
  <c r="E14" i="38"/>
  <c r="B18" i="43"/>
  <c r="A18" i="43"/>
  <c r="C14" i="36"/>
  <c r="C15" i="36" s="1"/>
  <c r="C16" i="36" s="1"/>
  <c r="C17" i="36" s="1"/>
  <c r="C18" i="36" s="1"/>
  <c r="C19" i="36" s="1"/>
  <c r="C20" i="36" s="1"/>
  <c r="C21" i="36" s="1"/>
  <c r="C22" i="36" s="1"/>
  <c r="C23" i="36" s="1"/>
  <c r="C24" i="36" s="1"/>
  <c r="C25" i="36" s="1"/>
  <c r="C26" i="36" s="1"/>
  <c r="C27" i="36" s="1"/>
  <c r="C28" i="36" s="1"/>
  <c r="C29" i="36" s="1"/>
  <c r="C30" i="36" s="1"/>
  <c r="C31" i="36" s="1"/>
  <c r="C32" i="36" s="1"/>
  <c r="C33" i="36" s="1"/>
  <c r="C34" i="36" s="1"/>
  <c r="C35" i="36" s="1"/>
  <c r="C36" i="36" s="1"/>
  <c r="C37" i="36" s="1"/>
  <c r="C38" i="36" s="1"/>
  <c r="C39" i="36" s="1"/>
  <c r="C40" i="36" s="1"/>
  <c r="G9" i="29"/>
  <c r="G10" i="29" s="1"/>
  <c r="G11" i="29" s="1"/>
  <c r="G12" i="29" s="1"/>
  <c r="G14" i="29"/>
  <c r="G15" i="29" s="1"/>
  <c r="G16" i="29" s="1"/>
  <c r="G17" i="29" s="1"/>
  <c r="G19" i="29"/>
  <c r="G20" i="29" s="1"/>
  <c r="G21" i="29" s="1"/>
  <c r="G22" i="29" s="1"/>
  <c r="G24" i="29"/>
  <c r="G25" i="29" s="1"/>
  <c r="G26" i="29" s="1"/>
  <c r="G27" i="29" s="1"/>
  <c r="G29" i="29"/>
  <c r="G30" i="29"/>
  <c r="G31" i="29" s="1"/>
  <c r="G32" i="29" s="1"/>
  <c r="G33" i="29" s="1"/>
  <c r="E4" i="38"/>
  <c r="L6" i="20"/>
  <c r="B3" i="36"/>
  <c r="B2" i="36"/>
  <c r="E13"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U4" i="55" l="1"/>
  <c r="Y7" i="55"/>
  <c r="AB7" i="55" s="1"/>
  <c r="Y4" i="55"/>
  <c r="AB4" i="55" s="1"/>
  <c r="Y5" i="55"/>
  <c r="AB5" i="55" s="1"/>
  <c r="AB6" i="55" s="1"/>
  <c r="Y6" i="55"/>
  <c r="Z6" i="55"/>
  <c r="E31" i="22"/>
  <c r="F27" i="41"/>
  <c r="C32" i="22"/>
  <c r="C33" i="22"/>
  <c r="C19" i="22"/>
  <c r="C20" i="22"/>
  <c r="C21" i="22"/>
  <c r="C16" i="22"/>
  <c r="C17" i="22"/>
  <c r="C18" i="22"/>
  <c r="U5" i="55"/>
  <c r="U6" i="55"/>
  <c r="U7" i="55"/>
  <c r="C6" i="49"/>
  <c r="C8" i="49" s="1"/>
  <c r="D14" i="36"/>
  <c r="E14" i="36" s="1"/>
  <c r="AB8" i="55" l="1"/>
  <c r="Z8" i="55"/>
  <c r="D15" i="36"/>
  <c r="E15" i="36" s="1"/>
  <c r="D16" i="36" l="1"/>
  <c r="E16" i="36" s="1"/>
  <c r="D17" i="36" l="1"/>
  <c r="E17" i="36" s="1"/>
  <c r="D18" i="36" l="1"/>
  <c r="E18" i="36" s="1"/>
  <c r="D19" i="36" l="1"/>
  <c r="E19" i="36" s="1"/>
  <c r="D20" i="36" l="1"/>
  <c r="E20" i="36" s="1"/>
  <c r="D21" i="36" l="1"/>
  <c r="E21" i="36" l="1"/>
  <c r="D22" i="36"/>
  <c r="E22" i="36" s="1"/>
  <c r="D23" i="36" l="1"/>
  <c r="E23" i="36" s="1"/>
  <c r="D24" i="36" l="1"/>
  <c r="E24" i="36" l="1"/>
  <c r="D25" i="36"/>
  <c r="E25" i="36" s="1"/>
  <c r="D26" i="36" l="1"/>
  <c r="E26" i="36" s="1"/>
  <c r="D27" i="36" l="1"/>
  <c r="E27" i="36" s="1"/>
  <c r="B13" i="47"/>
  <c r="A13" i="47"/>
  <c r="B8" i="47"/>
  <c r="A8" i="47"/>
  <c r="A9" i="47"/>
  <c r="B7" i="47"/>
  <c r="A7" i="47"/>
  <c r="A6" i="47"/>
  <c r="B5" i="47"/>
  <c r="A5" i="47"/>
  <c r="B4" i="47"/>
  <c r="A4" i="47"/>
  <c r="D28" i="36" l="1"/>
  <c r="E28" i="36" s="1"/>
  <c r="A12" i="39"/>
  <c r="A13" i="39"/>
  <c r="A14" i="39"/>
  <c r="B5" i="39"/>
  <c r="D29" i="36" l="1"/>
  <c r="E29" i="36" s="1"/>
  <c r="D30" i="36" l="1"/>
  <c r="E30" i="36" s="1"/>
  <c r="D31" i="36" l="1"/>
  <c r="E31" i="36" s="1"/>
  <c r="D32" i="36" l="1"/>
  <c r="E32" i="36" s="1"/>
  <c r="D33" i="36" l="1"/>
  <c r="E33" i="36" s="1"/>
  <c r="J3" i="20"/>
  <c r="J4" i="20"/>
  <c r="H4" i="20"/>
  <c r="H3" i="20"/>
  <c r="J6" i="20"/>
  <c r="J7" i="20"/>
  <c r="J8" i="20"/>
  <c r="J9" i="20"/>
  <c r="J10" i="20"/>
  <c r="J11" i="20"/>
  <c r="J12" i="20"/>
  <c r="E18" i="20"/>
  <c r="F18" i="20"/>
  <c r="G18" i="20"/>
  <c r="H18" i="20"/>
  <c r="I18" i="20"/>
  <c r="J18" i="20"/>
  <c r="D34" i="36" l="1"/>
  <c r="E34" i="36" s="1"/>
  <c r="B5" i="29"/>
  <c r="K9" i="29" s="1"/>
  <c r="B14" i="31"/>
  <c r="B15" i="31"/>
  <c r="C14" i="31"/>
  <c r="C13" i="42"/>
  <c r="B8" i="1"/>
  <c r="A8" i="1"/>
  <c r="A9" i="1"/>
  <c r="B33" i="3"/>
  <c r="B21" i="3"/>
  <c r="C9" i="49" s="1"/>
  <c r="C14" i="42" l="1"/>
  <c r="C13" i="49"/>
  <c r="C8" i="31"/>
  <c r="H9" i="29"/>
  <c r="H10" i="29" s="1"/>
  <c r="H11" i="29" s="1"/>
  <c r="H12" i="29" s="1"/>
  <c r="H13" i="29" s="1"/>
  <c r="H14" i="29" s="1"/>
  <c r="H15" i="29" s="1"/>
  <c r="H16" i="29" s="1"/>
  <c r="H17" i="29" s="1"/>
  <c r="H18" i="29" s="1"/>
  <c r="H19" i="29" s="1"/>
  <c r="H20" i="29" s="1"/>
  <c r="H21" i="29" s="1"/>
  <c r="H22" i="29" s="1"/>
  <c r="H23" i="29" s="1"/>
  <c r="H24" i="29" s="1"/>
  <c r="H25" i="29" s="1"/>
  <c r="H26" i="29" s="1"/>
  <c r="H27" i="29" s="1"/>
  <c r="H28" i="29" s="1"/>
  <c r="H29" i="29" s="1"/>
  <c r="H30" i="29" s="1"/>
  <c r="H31" i="29" s="1"/>
  <c r="H32" i="29" s="1"/>
  <c r="H33" i="29" s="1"/>
  <c r="H34" i="29" s="1"/>
  <c r="H35" i="29" s="1"/>
  <c r="H36" i="29" s="1"/>
  <c r="H37" i="29" s="1"/>
  <c r="H38" i="29" s="1"/>
  <c r="H39" i="29" s="1"/>
  <c r="H40" i="29" s="1"/>
  <c r="H41" i="29" s="1"/>
  <c r="H42" i="29" s="1"/>
  <c r="H43" i="29" s="1"/>
  <c r="H44" i="29" s="1"/>
  <c r="H45" i="29" s="1"/>
  <c r="H46" i="29" s="1"/>
  <c r="H47" i="29" s="1"/>
  <c r="H48" i="29" s="1"/>
  <c r="K10" i="29"/>
  <c r="K11" i="29" s="1"/>
  <c r="K12" i="29" s="1"/>
  <c r="K13" i="29" s="1"/>
  <c r="K14" i="29" s="1"/>
  <c r="K15" i="29" s="1"/>
  <c r="K16" i="29" s="1"/>
  <c r="D35" i="36"/>
  <c r="E35" i="36" s="1"/>
  <c r="B9" i="1"/>
  <c r="C15" i="31"/>
  <c r="K17" i="29" l="1"/>
  <c r="D36" i="36"/>
  <c r="E36" i="36" s="1"/>
  <c r="D11" i="44"/>
  <c r="F11" i="44" s="1"/>
  <c r="E11" i="44"/>
  <c r="E10" i="44"/>
  <c r="D10" i="44"/>
  <c r="F10" i="44" s="1"/>
  <c r="E9" i="44"/>
  <c r="D9" i="44"/>
  <c r="F9" i="44" s="1"/>
  <c r="B7" i="20"/>
  <c r="C15" i="42"/>
  <c r="C12" i="42"/>
  <c r="D3" i="29"/>
  <c r="C10" i="49" s="1"/>
  <c r="C8" i="42"/>
  <c r="B12" i="43"/>
  <c r="B11" i="43"/>
  <c r="D48" i="43" s="1"/>
  <c r="A48" i="43"/>
  <c r="D8" i="44"/>
  <c r="E8" i="44"/>
  <c r="G8" i="41"/>
  <c r="B6" i="39"/>
  <c r="G11" i="44" l="1"/>
  <c r="K18" i="29"/>
  <c r="C12" i="31"/>
  <c r="D37" i="36"/>
  <c r="E37" i="36" s="1"/>
  <c r="G9" i="44"/>
  <c r="G10" i="44"/>
  <c r="B49" i="43"/>
  <c r="F7" i="44"/>
  <c r="G7" i="44" s="1"/>
  <c r="F8" i="44"/>
  <c r="G8" i="44" s="1"/>
  <c r="K19" i="29" l="1"/>
  <c r="D38" i="36"/>
  <c r="E38" i="36" s="1"/>
  <c r="B50" i="43"/>
  <c r="A49" i="43"/>
  <c r="A8" i="43"/>
  <c r="A3" i="43"/>
  <c r="B3" i="43"/>
  <c r="A4" i="43"/>
  <c r="B4" i="43"/>
  <c r="A5" i="43"/>
  <c r="B5" i="43"/>
  <c r="A6" i="43"/>
  <c r="B6" i="43"/>
  <c r="A7" i="43"/>
  <c r="M15" i="20"/>
  <c r="N15" i="20"/>
  <c r="U15" i="20" s="1"/>
  <c r="O15" i="20"/>
  <c r="V15" i="20" s="1"/>
  <c r="P15" i="20"/>
  <c r="W15" i="20" s="1"/>
  <c r="Q15" i="20"/>
  <c r="M16" i="20"/>
  <c r="T16" i="20" s="1"/>
  <c r="N16" i="20"/>
  <c r="U16" i="20" s="1"/>
  <c r="O16" i="20"/>
  <c r="V16" i="20" s="1"/>
  <c r="P16" i="20"/>
  <c r="W16" i="20" s="1"/>
  <c r="Q16" i="20"/>
  <c r="X16" i="20" s="1"/>
  <c r="M17" i="20"/>
  <c r="T17" i="20" s="1"/>
  <c r="N17" i="20"/>
  <c r="U17" i="20" s="1"/>
  <c r="O17" i="20"/>
  <c r="V17" i="20" s="1"/>
  <c r="P17" i="20"/>
  <c r="W17" i="20" s="1"/>
  <c r="Q17" i="20"/>
  <c r="X17" i="20" s="1"/>
  <c r="L16" i="20"/>
  <c r="S16" i="20" s="1"/>
  <c r="L17" i="20"/>
  <c r="L15" i="20"/>
  <c r="S15" i="20" s="1"/>
  <c r="B3" i="37"/>
  <c r="B4" i="37"/>
  <c r="K15" i="20"/>
  <c r="K16" i="20"/>
  <c r="K17" i="20"/>
  <c r="B6" i="42"/>
  <c r="C5" i="42"/>
  <c r="B5" i="42"/>
  <c r="C4" i="42"/>
  <c r="B4" i="42"/>
  <c r="T15" i="20" l="1"/>
  <c r="T18" i="20" s="1"/>
  <c r="D24" i="20" s="1"/>
  <c r="X15" i="20"/>
  <c r="X18" i="20" s="1"/>
  <c r="H24" i="20" s="1"/>
  <c r="S17" i="20"/>
  <c r="Y17" i="20" s="1"/>
  <c r="S18" i="20"/>
  <c r="C24" i="20" s="1"/>
  <c r="E48" i="43"/>
  <c r="K20" i="29"/>
  <c r="D39" i="36"/>
  <c r="E39" i="36" s="1"/>
  <c r="D40" i="36"/>
  <c r="K18" i="20"/>
  <c r="Y16" i="20"/>
  <c r="W18" i="20"/>
  <c r="V18" i="20"/>
  <c r="F24" i="20" s="1"/>
  <c r="R15" i="20"/>
  <c r="U18" i="20"/>
  <c r="E24" i="20" s="1"/>
  <c r="P18" i="20"/>
  <c r="M18" i="20"/>
  <c r="O18" i="20"/>
  <c r="Q18" i="20"/>
  <c r="L18" i="20"/>
  <c r="N18" i="20"/>
  <c r="R16" i="20"/>
  <c r="B51" i="43"/>
  <c r="A50" i="43"/>
  <c r="R17" i="20"/>
  <c r="N6" i="41"/>
  <c r="N5" i="41"/>
  <c r="D25" i="41" s="1"/>
  <c r="N4" i="41"/>
  <c r="N3" i="41"/>
  <c r="G12" i="22"/>
  <c r="G13" i="22"/>
  <c r="B12" i="22"/>
  <c r="A12" i="22" s="1"/>
  <c r="B11" i="3"/>
  <c r="C8" i="29"/>
  <c r="B15" i="13"/>
  <c r="C15" i="13"/>
  <c r="C13" i="13"/>
  <c r="C20" i="13" s="1"/>
  <c r="B12" i="12"/>
  <c r="A8" i="12"/>
  <c r="E8" i="41"/>
  <c r="D8" i="41"/>
  <c r="C8" i="41"/>
  <c r="C26" i="41" l="1"/>
  <c r="A12" i="12"/>
  <c r="B13" i="12"/>
  <c r="D22" i="41"/>
  <c r="C23" i="41"/>
  <c r="B19" i="49"/>
  <c r="C19" i="49" s="1"/>
  <c r="D19" i="49" s="1"/>
  <c r="C5" i="49"/>
  <c r="K21" i="29"/>
  <c r="B6" i="47"/>
  <c r="B17" i="47" s="1"/>
  <c r="B18" i="47" s="1"/>
  <c r="B4" i="36"/>
  <c r="D41" i="36"/>
  <c r="E40" i="36"/>
  <c r="B21" i="31"/>
  <c r="B24" i="20"/>
  <c r="Y15" i="20"/>
  <c r="Y18" i="20" s="1"/>
  <c r="R18" i="20"/>
  <c r="B18" i="44"/>
  <c r="B19" i="44" s="1"/>
  <c r="B20" i="44" s="1"/>
  <c r="B21" i="44" s="1"/>
  <c r="B22" i="44" s="1"/>
  <c r="B23" i="44" s="1"/>
  <c r="B7" i="39"/>
  <c r="B52" i="43"/>
  <c r="A51" i="43"/>
  <c r="B22" i="41"/>
  <c r="B25" i="41"/>
  <c r="C6" i="42"/>
  <c r="B19" i="42" s="1"/>
  <c r="C19" i="42" s="1"/>
  <c r="B7" i="43"/>
  <c r="B23" i="43" s="1"/>
  <c r="B26" i="41"/>
  <c r="B23" i="41"/>
  <c r="C24" i="41"/>
  <c r="D23" i="41"/>
  <c r="B24" i="41"/>
  <c r="C25" i="41"/>
  <c r="D24" i="41"/>
  <c r="C22" i="41"/>
  <c r="B13" i="22"/>
  <c r="B29" i="29"/>
  <c r="B24" i="29"/>
  <c r="B19" i="29"/>
  <c r="B20" i="29" s="1"/>
  <c r="B14" i="29"/>
  <c r="B15" i="29" s="1"/>
  <c r="B16" i="29" s="1"/>
  <c r="B17" i="29" s="1"/>
  <c r="B9" i="29"/>
  <c r="A4" i="1"/>
  <c r="A5" i="1"/>
  <c r="A6" i="1"/>
  <c r="A12" i="1"/>
  <c r="A11" i="1"/>
  <c r="A10" i="1"/>
  <c r="B57" i="3"/>
  <c r="B7" i="37" s="1"/>
  <c r="A7" i="1"/>
  <c r="B7" i="1"/>
  <c r="B27" i="41" l="1"/>
  <c r="E19" i="49"/>
  <c r="E41" i="36"/>
  <c r="C12" i="21" s="1"/>
  <c r="D27" i="41"/>
  <c r="C27" i="41"/>
  <c r="A13" i="12"/>
  <c r="B14" i="12"/>
  <c r="G21" i="41"/>
  <c r="H21" i="41" s="1"/>
  <c r="C11" i="12" s="1"/>
  <c r="G22" i="41"/>
  <c r="H22" i="41" s="1"/>
  <c r="A17" i="47"/>
  <c r="B24" i="43"/>
  <c r="A23" i="43"/>
  <c r="E23" i="43"/>
  <c r="B20" i="49"/>
  <c r="A19" i="49"/>
  <c r="K22" i="29"/>
  <c r="B10" i="29"/>
  <c r="B11" i="29" s="1"/>
  <c r="B12" i="29" s="1"/>
  <c r="A21" i="31"/>
  <c r="B19" i="47"/>
  <c r="A18" i="47"/>
  <c r="A24" i="20"/>
  <c r="B25" i="20"/>
  <c r="A25" i="20" s="1"/>
  <c r="A19" i="42"/>
  <c r="B20" i="42"/>
  <c r="C20" i="42" s="1"/>
  <c r="D8" i="29"/>
  <c r="E8" i="29" s="1"/>
  <c r="B53" i="43"/>
  <c r="A52" i="43"/>
  <c r="B24" i="44"/>
  <c r="A22" i="41"/>
  <c r="B21" i="29"/>
  <c r="B22" i="29" s="1"/>
  <c r="B25" i="29"/>
  <c r="B30" i="29"/>
  <c r="B14" i="22"/>
  <c r="A13" i="22"/>
  <c r="G7" i="38" l="1"/>
  <c r="C12" i="12"/>
  <c r="B15" i="12"/>
  <c r="B25" i="43"/>
  <c r="A24" i="43"/>
  <c r="B21" i="49"/>
  <c r="A20" i="49"/>
  <c r="C20" i="49"/>
  <c r="K23" i="29"/>
  <c r="B20" i="47"/>
  <c r="A19" i="47"/>
  <c r="B21" i="42"/>
  <c r="C21" i="42" s="1"/>
  <c r="A20" i="42"/>
  <c r="B54" i="43"/>
  <c r="A53" i="43"/>
  <c r="B25" i="44"/>
  <c r="A23" i="41"/>
  <c r="B31" i="29"/>
  <c r="B26" i="29"/>
  <c r="A14" i="22"/>
  <c r="B15" i="22"/>
  <c r="A45" i="39"/>
  <c r="G22" i="39"/>
  <c r="B16" i="12" l="1"/>
  <c r="B26" i="43"/>
  <c r="A25" i="43"/>
  <c r="B22" i="49"/>
  <c r="A21" i="49"/>
  <c r="C21" i="49"/>
  <c r="K24" i="29"/>
  <c r="B21" i="47"/>
  <c r="A20" i="47"/>
  <c r="B22" i="42"/>
  <c r="C22" i="42" s="1"/>
  <c r="A21" i="42"/>
  <c r="B55" i="43"/>
  <c r="A54" i="43"/>
  <c r="B26" i="44"/>
  <c r="A24" i="41"/>
  <c r="B27" i="29"/>
  <c r="B32" i="29"/>
  <c r="A15" i="22"/>
  <c r="B16" i="22"/>
  <c r="A46" i="39"/>
  <c r="F22" i="39"/>
  <c r="F23" i="39" s="1"/>
  <c r="B17" i="12" l="1"/>
  <c r="A47" i="39"/>
  <c r="B27" i="43"/>
  <c r="A26" i="43"/>
  <c r="B23" i="49"/>
  <c r="A22" i="49"/>
  <c r="C22" i="49"/>
  <c r="K25" i="29"/>
  <c r="B22" i="47"/>
  <c r="A21" i="47"/>
  <c r="B23" i="42"/>
  <c r="C23" i="42" s="1"/>
  <c r="A22" i="42"/>
  <c r="B56" i="43"/>
  <c r="A55" i="43"/>
  <c r="B27" i="44"/>
  <c r="A25" i="41"/>
  <c r="B33" i="29"/>
  <c r="A16" i="22"/>
  <c r="B17" i="22"/>
  <c r="B18" i="12" l="1"/>
  <c r="A48" i="39"/>
  <c r="B28" i="43"/>
  <c r="A27" i="43"/>
  <c r="B24" i="49"/>
  <c r="A23" i="49"/>
  <c r="C23" i="49"/>
  <c r="K26" i="29"/>
  <c r="B23" i="47"/>
  <c r="A22" i="47"/>
  <c r="A23" i="42"/>
  <c r="B24" i="42"/>
  <c r="C24" i="42" s="1"/>
  <c r="B57" i="43"/>
  <c r="A56" i="43"/>
  <c r="B28" i="44"/>
  <c r="A26" i="41"/>
  <c r="A17" i="22"/>
  <c r="B18" i="22"/>
  <c r="C18" i="12" l="1"/>
  <c r="C17" i="12"/>
  <c r="B19" i="12"/>
  <c r="C19" i="12" s="1"/>
  <c r="A49" i="39"/>
  <c r="B29" i="43"/>
  <c r="A28" i="43"/>
  <c r="B25" i="49"/>
  <c r="A24" i="49"/>
  <c r="C24" i="49"/>
  <c r="K27" i="29"/>
  <c r="B24" i="47"/>
  <c r="A23" i="47"/>
  <c r="A24" i="42"/>
  <c r="B25" i="42"/>
  <c r="C25" i="42" s="1"/>
  <c r="B58" i="43"/>
  <c r="A57" i="43"/>
  <c r="B29" i="44"/>
  <c r="A18" i="22"/>
  <c r="B19" i="22"/>
  <c r="B20" i="12" l="1"/>
  <c r="C20" i="12" s="1"/>
  <c r="A50" i="39"/>
  <c r="B30" i="43"/>
  <c r="A29" i="43"/>
  <c r="B26" i="49"/>
  <c r="A25" i="49"/>
  <c r="C25" i="49"/>
  <c r="K28" i="29"/>
  <c r="B25" i="47"/>
  <c r="A24" i="47"/>
  <c r="A25" i="42"/>
  <c r="B26" i="42"/>
  <c r="C26" i="42" s="1"/>
  <c r="B59" i="43"/>
  <c r="A58" i="43"/>
  <c r="B30" i="44"/>
  <c r="A19" i="22"/>
  <c r="B20" i="22"/>
  <c r="B21" i="12" l="1"/>
  <c r="C21" i="12" s="1"/>
  <c r="A51" i="39"/>
  <c r="B31" i="43"/>
  <c r="A30" i="43"/>
  <c r="B27" i="49"/>
  <c r="A26" i="49"/>
  <c r="C26" i="49"/>
  <c r="K29" i="29"/>
  <c r="B26" i="47"/>
  <c r="A25" i="47"/>
  <c r="A26" i="42"/>
  <c r="B27" i="42"/>
  <c r="C27" i="42" s="1"/>
  <c r="B60" i="43"/>
  <c r="A59" i="43"/>
  <c r="B31" i="44"/>
  <c r="B21" i="22"/>
  <c r="A20" i="22"/>
  <c r="B22" i="12" l="1"/>
  <c r="C22" i="12" s="1"/>
  <c r="A52" i="39"/>
  <c r="B32" i="43"/>
  <c r="A31" i="43"/>
  <c r="B28" i="49"/>
  <c r="A27" i="49"/>
  <c r="C27" i="49"/>
  <c r="K30" i="29"/>
  <c r="B27" i="47"/>
  <c r="A26" i="47"/>
  <c r="A27" i="42"/>
  <c r="B28" i="42"/>
  <c r="C28" i="42" s="1"/>
  <c r="B61" i="43"/>
  <c r="A60" i="43"/>
  <c r="B32" i="44"/>
  <c r="A21" i="22"/>
  <c r="B22" i="22"/>
  <c r="B23" i="12" l="1"/>
  <c r="C23" i="12" s="1"/>
  <c r="A53" i="39"/>
  <c r="A32" i="43"/>
  <c r="B33" i="43"/>
  <c r="B29" i="49"/>
  <c r="A28" i="49"/>
  <c r="C28" i="49"/>
  <c r="K31" i="29"/>
  <c r="B28" i="47"/>
  <c r="A27" i="47"/>
  <c r="A28" i="42"/>
  <c r="B29" i="42"/>
  <c r="C29" i="42" s="1"/>
  <c r="B62" i="43"/>
  <c r="A61" i="43"/>
  <c r="B33" i="44"/>
  <c r="A22" i="22"/>
  <c r="B23" i="22"/>
  <c r="B24" i="12" l="1"/>
  <c r="C24" i="12" s="1"/>
  <c r="A54" i="39"/>
  <c r="B34" i="43"/>
  <c r="A33" i="43"/>
  <c r="B30" i="49"/>
  <c r="A29" i="49"/>
  <c r="C29" i="49"/>
  <c r="K32" i="29"/>
  <c r="B29" i="47"/>
  <c r="A28" i="47"/>
  <c r="A29" i="42"/>
  <c r="B30" i="42"/>
  <c r="C30" i="42" s="1"/>
  <c r="B63" i="43"/>
  <c r="A62" i="43"/>
  <c r="B34" i="44"/>
  <c r="B24" i="22"/>
  <c r="A23" i="22"/>
  <c r="B25" i="12" l="1"/>
  <c r="C25" i="12" s="1"/>
  <c r="A55" i="39"/>
  <c r="B35" i="43"/>
  <c r="A34" i="43"/>
  <c r="B31" i="49"/>
  <c r="A30" i="49"/>
  <c r="C30" i="49"/>
  <c r="K33" i="29"/>
  <c r="B30" i="47"/>
  <c r="A29" i="47"/>
  <c r="B31" i="42"/>
  <c r="C31" i="42" s="1"/>
  <c r="A30" i="42"/>
  <c r="B64" i="43"/>
  <c r="A63" i="43"/>
  <c r="B35" i="44"/>
  <c r="A24" i="22"/>
  <c r="B25" i="22"/>
  <c r="B26" i="12" l="1"/>
  <c r="C26" i="12" s="1"/>
  <c r="A56" i="39"/>
  <c r="B36" i="43"/>
  <c r="A35" i="43"/>
  <c r="B32" i="49"/>
  <c r="A31" i="49"/>
  <c r="C31" i="49"/>
  <c r="K34" i="29"/>
  <c r="A30" i="47"/>
  <c r="B31" i="47"/>
  <c r="B32" i="42"/>
  <c r="C32" i="42" s="1"/>
  <c r="A31" i="42"/>
  <c r="B65" i="43"/>
  <c r="A64" i="43"/>
  <c r="B36" i="44"/>
  <c r="A25" i="22"/>
  <c r="B26" i="22"/>
  <c r="B27" i="12" l="1"/>
  <c r="C27" i="12" s="1"/>
  <c r="A57" i="39"/>
  <c r="B37" i="43"/>
  <c r="A36" i="43"/>
  <c r="B33" i="49"/>
  <c r="A32" i="49"/>
  <c r="C32" i="49"/>
  <c r="K35" i="29"/>
  <c r="B32" i="47"/>
  <c r="A31" i="47"/>
  <c r="B33" i="42"/>
  <c r="C33" i="42" s="1"/>
  <c r="A32" i="42"/>
  <c r="B66" i="43"/>
  <c r="A65" i="43"/>
  <c r="B37" i="44"/>
  <c r="A26" i="22"/>
  <c r="B27" i="22"/>
  <c r="B28" i="12" l="1"/>
  <c r="C28" i="12" s="1"/>
  <c r="A58" i="39"/>
  <c r="B38" i="43"/>
  <c r="A37" i="43"/>
  <c r="B34" i="49"/>
  <c r="A33" i="49"/>
  <c r="C33" i="49"/>
  <c r="K36" i="29"/>
  <c r="K37" i="29" s="1"/>
  <c r="K38" i="29" s="1"/>
  <c r="K39" i="29" s="1"/>
  <c r="K40" i="29" s="1"/>
  <c r="K41" i="29" s="1"/>
  <c r="K42" i="29" s="1"/>
  <c r="K43" i="29" s="1"/>
  <c r="K44" i="29" s="1"/>
  <c r="K45" i="29" s="1"/>
  <c r="K46" i="29" s="1"/>
  <c r="K47" i="29" s="1"/>
  <c r="K48" i="29" s="1"/>
  <c r="B33" i="47"/>
  <c r="A32" i="47"/>
  <c r="B34" i="42"/>
  <c r="C34" i="42" s="1"/>
  <c r="A33" i="42"/>
  <c r="B67" i="43"/>
  <c r="A67" i="43" s="1"/>
  <c r="A66" i="43"/>
  <c r="A27" i="22"/>
  <c r="B28" i="22"/>
  <c r="B29" i="12" l="1"/>
  <c r="C29" i="12" s="1"/>
  <c r="A59" i="39"/>
  <c r="A38" i="43"/>
  <c r="B39" i="43"/>
  <c r="B35" i="49"/>
  <c r="A34" i="49"/>
  <c r="C34" i="49"/>
  <c r="B34" i="47"/>
  <c r="A33" i="47"/>
  <c r="B35" i="42"/>
  <c r="C35" i="42" s="1"/>
  <c r="A34" i="42"/>
  <c r="B29" i="22"/>
  <c r="A28" i="22"/>
  <c r="B30" i="12" l="1"/>
  <c r="C30" i="12" s="1"/>
  <c r="A60" i="39"/>
  <c r="B40" i="43"/>
  <c r="A39" i="43"/>
  <c r="A35" i="49"/>
  <c r="B36" i="49"/>
  <c r="C35" i="49"/>
  <c r="A34" i="47"/>
  <c r="B35" i="47"/>
  <c r="B36" i="42"/>
  <c r="C36" i="42" s="1"/>
  <c r="A35" i="42"/>
  <c r="A29" i="22"/>
  <c r="B30" i="22"/>
  <c r="B31" i="22" s="1"/>
  <c r="B31" i="12" l="1"/>
  <c r="C31" i="12" s="1"/>
  <c r="A61" i="39"/>
  <c r="A31" i="22"/>
  <c r="B32" i="22"/>
  <c r="A40" i="43"/>
  <c r="B41" i="43"/>
  <c r="B37" i="49"/>
  <c r="A36" i="49"/>
  <c r="C36" i="49"/>
  <c r="A35" i="47"/>
  <c r="B36" i="47"/>
  <c r="B37" i="42"/>
  <c r="C37" i="42" s="1"/>
  <c r="A36" i="42"/>
  <c r="A30" i="22"/>
  <c r="B32" i="12" l="1"/>
  <c r="C32" i="12" s="1"/>
  <c r="A62" i="39"/>
  <c r="B33" i="22"/>
  <c r="A33" i="22" s="1"/>
  <c r="A32" i="22"/>
  <c r="B42" i="43"/>
  <c r="A42" i="43" s="1"/>
  <c r="A41" i="43"/>
  <c r="B38" i="49"/>
  <c r="A37" i="49"/>
  <c r="C37" i="49"/>
  <c r="A36" i="47"/>
  <c r="A37" i="42"/>
  <c r="B38" i="42"/>
  <c r="C38" i="42" s="1"/>
  <c r="A63" i="39" l="1"/>
  <c r="A38" i="49"/>
  <c r="C38" i="49"/>
  <c r="A38" i="42"/>
  <c r="B16" i="37"/>
  <c r="B2" i="37"/>
  <c r="B5" i="37"/>
  <c r="B6" i="37"/>
  <c r="C13" i="31"/>
  <c r="C9" i="31"/>
  <c r="B9" i="31"/>
  <c r="C6" i="31"/>
  <c r="B6" i="31"/>
  <c r="C5" i="31"/>
  <c r="C4" i="31"/>
  <c r="B5" i="31"/>
  <c r="B4" i="31"/>
  <c r="B17" i="3"/>
  <c r="B6" i="1"/>
  <c r="B17" i="1" s="1"/>
  <c r="B5" i="1"/>
  <c r="B4" i="1"/>
  <c r="L16" i="37" l="1"/>
  <c r="N39" i="37" s="1"/>
  <c r="I16" i="37"/>
  <c r="B12" i="39"/>
  <c r="B23" i="39" s="1"/>
  <c r="B29" i="39" s="1"/>
  <c r="A64" i="39"/>
  <c r="B13" i="39"/>
  <c r="B24" i="39" s="1"/>
  <c r="C7" i="31"/>
  <c r="C10" i="31" s="1"/>
  <c r="C7" i="42"/>
  <c r="D19" i="42" s="1"/>
  <c r="H17" i="1"/>
  <c r="B39" i="37"/>
  <c r="K39" i="37" s="1"/>
  <c r="B19" i="3"/>
  <c r="B18" i="1"/>
  <c r="A17" i="1"/>
  <c r="H39" i="37" l="1"/>
  <c r="N17" i="1"/>
  <c r="N18" i="1" s="1"/>
  <c r="N19" i="1" s="1"/>
  <c r="N20" i="1" s="1"/>
  <c r="N21" i="1" s="1"/>
  <c r="N22" i="1" s="1"/>
  <c r="N23" i="1" s="1"/>
  <c r="N24" i="1" s="1"/>
  <c r="N25" i="1" s="1"/>
  <c r="N26" i="1" s="1"/>
  <c r="N27" i="1" s="1"/>
  <c r="N28" i="1" s="1"/>
  <c r="N29" i="1" s="1"/>
  <c r="N30" i="1" s="1"/>
  <c r="N31" i="1" s="1"/>
  <c r="N32" i="1" s="1"/>
  <c r="N33" i="1" s="1"/>
  <c r="N34" i="1" s="1"/>
  <c r="N35" i="1" s="1"/>
  <c r="N36" i="1" s="1"/>
  <c r="E19" i="42"/>
  <c r="G19" i="42" s="1"/>
  <c r="F19" i="42"/>
  <c r="H19" i="42" s="1"/>
  <c r="B27" i="39"/>
  <c r="B30" i="39"/>
  <c r="D20" i="42"/>
  <c r="D21" i="42"/>
  <c r="D22" i="42"/>
  <c r="D23" i="42"/>
  <c r="D24" i="42"/>
  <c r="D25" i="42"/>
  <c r="D26" i="42"/>
  <c r="D27" i="42"/>
  <c r="D28" i="42"/>
  <c r="D29" i="42"/>
  <c r="D30" i="42"/>
  <c r="D31" i="42"/>
  <c r="D32" i="42"/>
  <c r="D33" i="42"/>
  <c r="D34" i="42"/>
  <c r="D35" i="42"/>
  <c r="D36" i="42"/>
  <c r="D37" i="42"/>
  <c r="D38" i="42"/>
  <c r="F26" i="39"/>
  <c r="F29" i="39" s="1"/>
  <c r="F32" i="39" s="1"/>
  <c r="B10" i="1"/>
  <c r="B9" i="47"/>
  <c r="B14" i="39"/>
  <c r="B26" i="39"/>
  <c r="F25" i="39"/>
  <c r="F28" i="39" s="1"/>
  <c r="F31" i="39" s="1"/>
  <c r="A18" i="1"/>
  <c r="H18" i="1"/>
  <c r="B19" i="1"/>
  <c r="I19" i="42" l="1"/>
  <c r="J19" i="42" s="1"/>
  <c r="C17" i="47"/>
  <c r="D17" i="47"/>
  <c r="F33" i="39"/>
  <c r="F35" i="39" s="1"/>
  <c r="F36" i="39" s="1"/>
  <c r="B32" i="39"/>
  <c r="B34" i="39" s="1"/>
  <c r="B20" i="1"/>
  <c r="H19" i="1"/>
  <c r="A19" i="1"/>
  <c r="D18" i="47" l="1"/>
  <c r="F17" i="47"/>
  <c r="C18" i="47"/>
  <c r="E17" i="47"/>
  <c r="B38" i="39"/>
  <c r="B21" i="1"/>
  <c r="A20" i="1"/>
  <c r="H20" i="1"/>
  <c r="C19" i="47" l="1"/>
  <c r="E18" i="47"/>
  <c r="G17" i="47"/>
  <c r="D19" i="47"/>
  <c r="F18" i="47"/>
  <c r="B41" i="39"/>
  <c r="A21" i="1"/>
  <c r="H21" i="1"/>
  <c r="C16" i="31"/>
  <c r="B22" i="31"/>
  <c r="B45" i="39" l="1"/>
  <c r="C45" i="39" s="1"/>
  <c r="H17" i="47"/>
  <c r="G18" i="47"/>
  <c r="H18" i="47" s="1"/>
  <c r="D20" i="47"/>
  <c r="F19" i="47"/>
  <c r="C20" i="47"/>
  <c r="E19" i="47"/>
  <c r="G19" i="47" s="1"/>
  <c r="H19" i="47" s="1"/>
  <c r="H22" i="1"/>
  <c r="B17" i="37"/>
  <c r="B23" i="31"/>
  <c r="A22" i="31"/>
  <c r="B46" i="39" l="1"/>
  <c r="C46" i="39" s="1"/>
  <c r="I17" i="37"/>
  <c r="H40" i="37" s="1"/>
  <c r="L17" i="37"/>
  <c r="N40" i="37" s="1"/>
  <c r="D21" i="47"/>
  <c r="F20" i="47"/>
  <c r="C21" i="47"/>
  <c r="E20" i="47"/>
  <c r="B47" i="39"/>
  <c r="C47" i="39" s="1"/>
  <c r="H23" i="1"/>
  <c r="A23" i="31"/>
  <c r="B40" i="37"/>
  <c r="K40" i="37" s="1"/>
  <c r="B18" i="37"/>
  <c r="B24" i="31"/>
  <c r="G20" i="47" l="1"/>
  <c r="H20" i="47" s="1"/>
  <c r="I18" i="37"/>
  <c r="H41" i="37" s="1"/>
  <c r="L18" i="37"/>
  <c r="N41" i="37" s="1"/>
  <c r="C22" i="47"/>
  <c r="E21" i="47"/>
  <c r="D22" i="47"/>
  <c r="F21" i="47"/>
  <c r="B48" i="39"/>
  <c r="C48" i="39" s="1"/>
  <c r="H24" i="1"/>
  <c r="B41" i="37"/>
  <c r="K41" i="37" s="1"/>
  <c r="B19" i="37"/>
  <c r="A24" i="31"/>
  <c r="B25" i="31"/>
  <c r="I19" i="37" l="1"/>
  <c r="H42" i="37" s="1"/>
  <c r="L19" i="37"/>
  <c r="N42" i="37" s="1"/>
  <c r="B49" i="39"/>
  <c r="C49" i="39" s="1"/>
  <c r="G21" i="47"/>
  <c r="D23" i="47"/>
  <c r="F22" i="47"/>
  <c r="C23" i="47"/>
  <c r="E22" i="47"/>
  <c r="H25" i="1"/>
  <c r="B42" i="37"/>
  <c r="K42" i="37" s="1"/>
  <c r="B20" i="37"/>
  <c r="A25" i="31"/>
  <c r="B26" i="31"/>
  <c r="G22" i="47" l="1"/>
  <c r="H22" i="47" s="1"/>
  <c r="I20" i="37"/>
  <c r="H43" i="37" s="1"/>
  <c r="L20" i="37"/>
  <c r="N43" i="37" s="1"/>
  <c r="B50" i="39"/>
  <c r="C50" i="39" s="1"/>
  <c r="C24" i="47"/>
  <c r="E23" i="47"/>
  <c r="D24" i="47"/>
  <c r="F23" i="47"/>
  <c r="H21" i="47"/>
  <c r="H26" i="1"/>
  <c r="B43" i="37"/>
  <c r="K43" i="37" s="1"/>
  <c r="B21" i="37"/>
  <c r="B27" i="31"/>
  <c r="A26" i="31"/>
  <c r="I21" i="37" l="1"/>
  <c r="H44" i="37" s="1"/>
  <c r="L21" i="37"/>
  <c r="N44" i="37" s="1"/>
  <c r="B51" i="39"/>
  <c r="C51" i="39" s="1"/>
  <c r="D25" i="47"/>
  <c r="F24" i="47"/>
  <c r="G23" i="47"/>
  <c r="C25" i="47"/>
  <c r="E24" i="47"/>
  <c r="G24" i="47" s="1"/>
  <c r="H24" i="47" s="1"/>
  <c r="B52" i="39"/>
  <c r="C52" i="39" s="1"/>
  <c r="H27" i="1"/>
  <c r="B44" i="37"/>
  <c r="K44" i="37" s="1"/>
  <c r="B22" i="37"/>
  <c r="A27" i="31"/>
  <c r="B28" i="31"/>
  <c r="I22" i="37" l="1"/>
  <c r="H45" i="37" s="1"/>
  <c r="L22" i="37"/>
  <c r="N45" i="37" s="1"/>
  <c r="C26" i="47"/>
  <c r="E25" i="47"/>
  <c r="H23" i="47"/>
  <c r="D26" i="47"/>
  <c r="F25" i="47"/>
  <c r="B53" i="39"/>
  <c r="C53" i="39" s="1"/>
  <c r="H28" i="1"/>
  <c r="B45" i="37"/>
  <c r="K45" i="37" s="1"/>
  <c r="B23" i="37"/>
  <c r="B29" i="31"/>
  <c r="A28" i="31"/>
  <c r="I23" i="37" l="1"/>
  <c r="H46" i="37" s="1"/>
  <c r="L23" i="37"/>
  <c r="N46" i="37" s="1"/>
  <c r="D27" i="47"/>
  <c r="F26" i="47"/>
  <c r="G25" i="47"/>
  <c r="H25" i="47" s="1"/>
  <c r="C27" i="47"/>
  <c r="E26" i="47"/>
  <c r="B54" i="39"/>
  <c r="C54" i="39" s="1"/>
  <c r="H29" i="1"/>
  <c r="B46" i="37"/>
  <c r="K46" i="37" s="1"/>
  <c r="B24" i="37"/>
  <c r="A29" i="31"/>
  <c r="B30" i="31"/>
  <c r="I24" i="37" l="1"/>
  <c r="H47" i="37" s="1"/>
  <c r="L24" i="37"/>
  <c r="N47" i="37" s="1"/>
  <c r="G26" i="47"/>
  <c r="H26" i="47" s="1"/>
  <c r="C28" i="47"/>
  <c r="E27" i="47"/>
  <c r="D28" i="47"/>
  <c r="F27" i="47"/>
  <c r="B55" i="39"/>
  <c r="C55" i="39" s="1"/>
  <c r="H30" i="1"/>
  <c r="B47" i="37"/>
  <c r="K47" i="37" s="1"/>
  <c r="B25" i="37"/>
  <c r="B31" i="31"/>
  <c r="A30" i="31"/>
  <c r="I25" i="37" l="1"/>
  <c r="H48" i="37" s="1"/>
  <c r="L25" i="37"/>
  <c r="N48" i="37" s="1"/>
  <c r="D29" i="47"/>
  <c r="F28" i="47"/>
  <c r="G27" i="47"/>
  <c r="H27" i="47" s="1"/>
  <c r="C29" i="47"/>
  <c r="E28" i="47"/>
  <c r="B56" i="39"/>
  <c r="C56" i="39" s="1"/>
  <c r="H31" i="1"/>
  <c r="B48" i="37"/>
  <c r="K48" i="37" s="1"/>
  <c r="B26" i="37"/>
  <c r="B32" i="31"/>
  <c r="A31" i="31"/>
  <c r="I26" i="37" l="1"/>
  <c r="H49" i="37" s="1"/>
  <c r="L26" i="37"/>
  <c r="N49" i="37" s="1"/>
  <c r="G28" i="47"/>
  <c r="H28" i="47" s="1"/>
  <c r="C30" i="47"/>
  <c r="E29" i="47"/>
  <c r="D30" i="47"/>
  <c r="F29" i="47"/>
  <c r="B57" i="39"/>
  <c r="C57" i="39" s="1"/>
  <c r="H32" i="1"/>
  <c r="B49" i="37"/>
  <c r="K49" i="37" s="1"/>
  <c r="B27" i="37"/>
  <c r="B33" i="31"/>
  <c r="A32" i="31"/>
  <c r="I27" i="37" l="1"/>
  <c r="H50" i="37" s="1"/>
  <c r="L27" i="37"/>
  <c r="N50" i="37" s="1"/>
  <c r="D31" i="47"/>
  <c r="F30" i="47"/>
  <c r="G29" i="47"/>
  <c r="H29" i="47" s="1"/>
  <c r="C31" i="47"/>
  <c r="E30" i="47"/>
  <c r="B58" i="39"/>
  <c r="C58" i="39" s="1"/>
  <c r="H33" i="1"/>
  <c r="B50" i="37"/>
  <c r="K50" i="37" s="1"/>
  <c r="B28" i="37"/>
  <c r="B34" i="31"/>
  <c r="A33" i="31"/>
  <c r="I28" i="37" l="1"/>
  <c r="H51" i="37" s="1"/>
  <c r="L28" i="37"/>
  <c r="N51" i="37" s="1"/>
  <c r="G30" i="47"/>
  <c r="H30" i="47" s="1"/>
  <c r="C32" i="47"/>
  <c r="E31" i="47"/>
  <c r="D32" i="47"/>
  <c r="F31" i="47"/>
  <c r="B59" i="39"/>
  <c r="C59" i="39" s="1"/>
  <c r="H34" i="1"/>
  <c r="B51" i="37"/>
  <c r="K51" i="37" s="1"/>
  <c r="B29" i="37"/>
  <c r="B35" i="31"/>
  <c r="A34" i="31"/>
  <c r="I29" i="37" l="1"/>
  <c r="H52" i="37" s="1"/>
  <c r="L29" i="37"/>
  <c r="N52" i="37" s="1"/>
  <c r="D33" i="47"/>
  <c r="F32" i="47"/>
  <c r="G31" i="47"/>
  <c r="H31" i="47" s="1"/>
  <c r="C33" i="47"/>
  <c r="E32" i="47"/>
  <c r="B60" i="39"/>
  <c r="C60" i="39" s="1"/>
  <c r="H35" i="1"/>
  <c r="B52" i="37"/>
  <c r="K52" i="37" s="1"/>
  <c r="B30" i="37"/>
  <c r="B36" i="31"/>
  <c r="A35" i="31"/>
  <c r="I30" i="37" l="1"/>
  <c r="H53" i="37" s="1"/>
  <c r="L30" i="37"/>
  <c r="N53" i="37" s="1"/>
  <c r="G32" i="47"/>
  <c r="H32" i="47" s="1"/>
  <c r="C34" i="47"/>
  <c r="E33" i="47"/>
  <c r="D34" i="47"/>
  <c r="F33" i="47"/>
  <c r="B61" i="39"/>
  <c r="C61" i="39" s="1"/>
  <c r="H36" i="1"/>
  <c r="B53" i="37"/>
  <c r="K53" i="37" s="1"/>
  <c r="B31" i="37"/>
  <c r="A36" i="31"/>
  <c r="B37" i="31"/>
  <c r="I31" i="37" l="1"/>
  <c r="H54" i="37" s="1"/>
  <c r="L31" i="37"/>
  <c r="N54" i="37" s="1"/>
  <c r="D35" i="47"/>
  <c r="F34" i="47"/>
  <c r="G33" i="47"/>
  <c r="H33" i="47" s="1"/>
  <c r="C35" i="47"/>
  <c r="E34" i="47"/>
  <c r="B62" i="39"/>
  <c r="C62" i="39" s="1"/>
  <c r="B54" i="37"/>
  <c r="K54" i="37" s="1"/>
  <c r="B32" i="37"/>
  <c r="A37" i="31"/>
  <c r="B38" i="31"/>
  <c r="I32" i="37" l="1"/>
  <c r="H55" i="37" s="1"/>
  <c r="L32" i="37"/>
  <c r="N55" i="37" s="1"/>
  <c r="G34" i="47"/>
  <c r="H34" i="47" s="1"/>
  <c r="C36" i="47"/>
  <c r="E36" i="47" s="1"/>
  <c r="E35" i="47"/>
  <c r="D36" i="47"/>
  <c r="F36" i="47" s="1"/>
  <c r="F35" i="47"/>
  <c r="B63" i="39"/>
  <c r="C63" i="39" s="1"/>
  <c r="B55" i="37"/>
  <c r="K55" i="37" s="1"/>
  <c r="B33" i="37"/>
  <c r="A38" i="31"/>
  <c r="B39" i="31"/>
  <c r="I33" i="37" l="1"/>
  <c r="H56" i="37" s="1"/>
  <c r="L33" i="37"/>
  <c r="N56" i="37" s="1"/>
  <c r="F37" i="47"/>
  <c r="G35" i="47"/>
  <c r="H35" i="47" s="1"/>
  <c r="G36" i="47"/>
  <c r="B64" i="39"/>
  <c r="C64" i="39" s="1"/>
  <c r="B56" i="37"/>
  <c r="K56" i="37" s="1"/>
  <c r="B34" i="37"/>
  <c r="A39" i="31"/>
  <c r="B40" i="31"/>
  <c r="I34" i="37" l="1"/>
  <c r="H57" i="37" s="1"/>
  <c r="L34" i="37"/>
  <c r="N57" i="37" s="1"/>
  <c r="H36" i="47"/>
  <c r="H37" i="47" s="1"/>
  <c r="G37" i="47"/>
  <c r="C65" i="39"/>
  <c r="C11" i="21" s="1"/>
  <c r="G6" i="38" s="1"/>
  <c r="B65" i="39"/>
  <c r="B57" i="37"/>
  <c r="K57" i="37" s="1"/>
  <c r="B35" i="37"/>
  <c r="A40" i="31"/>
  <c r="I35" i="37" l="1"/>
  <c r="H58" i="37" s="1"/>
  <c r="L35" i="37"/>
  <c r="N58" i="37" s="1"/>
  <c r="B58" i="37"/>
  <c r="K58" i="37" s="1"/>
  <c r="C4" i="21" l="1"/>
  <c r="C14" i="22" l="1"/>
  <c r="C30" i="22"/>
  <c r="C29" i="22"/>
  <c r="C28" i="22"/>
  <c r="C27" i="22"/>
  <c r="C22" i="22"/>
  <c r="C25" i="22"/>
  <c r="C23" i="22"/>
  <c r="C24" i="22"/>
  <c r="C5" i="22"/>
  <c r="C15" i="22"/>
  <c r="E33" i="22"/>
  <c r="E32" i="22"/>
  <c r="E25" i="22"/>
  <c r="E22" i="22"/>
  <c r="E19" i="22"/>
  <c r="G19" i="22" s="1"/>
  <c r="E24" i="22"/>
  <c r="E23" i="22"/>
  <c r="E28" i="22"/>
  <c r="E16" i="22"/>
  <c r="E30" i="22"/>
  <c r="E27" i="22"/>
  <c r="E21" i="22"/>
  <c r="E17" i="22"/>
  <c r="E20" i="22"/>
  <c r="E29" i="22"/>
  <c r="E18" i="22"/>
  <c r="E14" i="22"/>
  <c r="E15" i="22"/>
  <c r="G17" i="22" l="1"/>
  <c r="G29" i="22"/>
  <c r="G18" i="22"/>
  <c r="G14" i="22"/>
  <c r="G22" i="22"/>
  <c r="E34" i="22"/>
  <c r="G30" i="22"/>
  <c r="G33" i="22"/>
  <c r="G26" i="22"/>
  <c r="G25" i="22"/>
  <c r="G15" i="22"/>
  <c r="G24" i="22"/>
  <c r="G27" i="22"/>
  <c r="G20" i="22"/>
  <c r="G32" i="22"/>
  <c r="G16" i="22"/>
  <c r="G23" i="22"/>
  <c r="G28" i="22"/>
  <c r="G31" i="22"/>
  <c r="G11" i="22"/>
  <c r="G21" i="22"/>
  <c r="A32" i="12"/>
  <c r="A31" i="12"/>
  <c r="A30" i="12"/>
  <c r="A29" i="12"/>
  <c r="A28" i="12"/>
  <c r="A27" i="12"/>
  <c r="A26" i="12"/>
  <c r="A25" i="12"/>
  <c r="A24" i="12"/>
  <c r="A23" i="12"/>
  <c r="A22" i="12"/>
  <c r="A21" i="12"/>
  <c r="A20" i="12"/>
  <c r="A19" i="12"/>
  <c r="A18" i="12"/>
  <c r="A17" i="12"/>
  <c r="A16" i="12"/>
  <c r="A15" i="12"/>
  <c r="A14" i="12"/>
  <c r="G34" i="22" l="1"/>
  <c r="H9" i="22" l="1"/>
  <c r="C8" i="22"/>
  <c r="H11" i="22" l="1"/>
  <c r="D23" i="22"/>
  <c r="F13" i="22"/>
  <c r="F11" i="22"/>
  <c r="D12" i="22"/>
  <c r="F12" i="22"/>
  <c r="D13" i="22"/>
  <c r="D19" i="22"/>
  <c r="D31" i="22"/>
  <c r="D17" i="22"/>
  <c r="D11" i="22"/>
  <c r="D16" i="22"/>
  <c r="F26" i="22"/>
  <c r="D18" i="22"/>
  <c r="D33" i="22"/>
  <c r="D21" i="22"/>
  <c r="F31" i="22"/>
  <c r="D32" i="22"/>
  <c r="D26" i="22"/>
  <c r="D20" i="22"/>
  <c r="F14" i="22"/>
  <c r="F19" i="22"/>
  <c r="D15" i="22"/>
  <c r="F29" i="22"/>
  <c r="F17" i="22"/>
  <c r="F15" i="22"/>
  <c r="F32" i="22"/>
  <c r="F23" i="22"/>
  <c r="F20" i="22"/>
  <c r="F33" i="22"/>
  <c r="F21" i="22"/>
  <c r="D25" i="22"/>
  <c r="F18" i="22"/>
  <c r="D24" i="22"/>
  <c r="F28" i="22"/>
  <c r="D29" i="22"/>
  <c r="D22" i="22"/>
  <c r="F27" i="22"/>
  <c r="F30" i="22"/>
  <c r="D27" i="22"/>
  <c r="D28" i="22"/>
  <c r="F22" i="22"/>
  <c r="F16" i="22"/>
  <c r="D30" i="22"/>
  <c r="F25" i="22"/>
  <c r="F24" i="22"/>
  <c r="D14" i="22"/>
  <c r="H13" i="22"/>
  <c r="H12" i="22"/>
  <c r="H31" i="22"/>
  <c r="H32" i="22"/>
  <c r="H33" i="22"/>
  <c r="H14" i="22"/>
  <c r="H20" i="22"/>
  <c r="H25" i="22"/>
  <c r="H30" i="22"/>
  <c r="H16" i="22"/>
  <c r="H21" i="22"/>
  <c r="H26" i="22"/>
  <c r="H17" i="22"/>
  <c r="H22" i="22"/>
  <c r="H28" i="22"/>
  <c r="H18" i="22"/>
  <c r="H24" i="22"/>
  <c r="H29" i="22"/>
  <c r="H23" i="22"/>
  <c r="H19" i="22"/>
  <c r="H15" i="22"/>
  <c r="H27" i="22"/>
  <c r="B8" i="12"/>
  <c r="E19" i="13"/>
  <c r="D18" i="13"/>
  <c r="H34" i="22" l="1"/>
  <c r="F34" i="22"/>
  <c r="D34" i="22"/>
  <c r="C34" i="22"/>
  <c r="I24" i="20" l="1"/>
  <c r="C33" i="21" l="1"/>
  <c r="G28" i="38" s="1"/>
  <c r="C6" i="20" l="1"/>
  <c r="C5" i="20" l="1"/>
  <c r="J24" i="20" s="1"/>
  <c r="B26" i="20" l="1"/>
  <c r="B27" i="20" s="1"/>
  <c r="A27" i="20" l="1"/>
  <c r="A26" i="20"/>
  <c r="B28" i="20"/>
  <c r="A28" i="20" l="1"/>
  <c r="B29" i="20"/>
  <c r="A29" i="20" l="1"/>
  <c r="B30" i="20"/>
  <c r="A30" i="20" l="1"/>
  <c r="B31" i="20"/>
  <c r="C10" i="13"/>
  <c r="F19" i="13" l="1"/>
  <c r="A31" i="20"/>
  <c r="B32" i="20"/>
  <c r="B7" i="12"/>
  <c r="D11" i="12" s="1"/>
  <c r="D19" i="12" l="1"/>
  <c r="D27" i="12"/>
  <c r="D28" i="12"/>
  <c r="D21" i="12"/>
  <c r="D30" i="12"/>
  <c r="D23" i="12"/>
  <c r="D31" i="12"/>
  <c r="D25" i="12"/>
  <c r="D12" i="12"/>
  <c r="D20" i="12"/>
  <c r="D29" i="12"/>
  <c r="D22" i="12"/>
  <c r="D32" i="12"/>
  <c r="D24" i="12"/>
  <c r="D17" i="12"/>
  <c r="D26" i="12"/>
  <c r="D18" i="12"/>
  <c r="A32" i="20"/>
  <c r="B33" i="20"/>
  <c r="A33" i="20" l="1"/>
  <c r="B34" i="20"/>
  <c r="A34" i="20" l="1"/>
  <c r="B35" i="20"/>
  <c r="A35" i="20" l="1"/>
  <c r="B36" i="20"/>
  <c r="B11" i="1"/>
  <c r="A36" i="20" l="1"/>
  <c r="B37" i="20"/>
  <c r="B12" i="1"/>
  <c r="A37" i="20" l="1"/>
  <c r="B38" i="20"/>
  <c r="A38" i="20" l="1"/>
  <c r="B39" i="20"/>
  <c r="A39" i="20" l="1"/>
  <c r="B40" i="20"/>
  <c r="A40" i="20" l="1"/>
  <c r="B41" i="20"/>
  <c r="A41" i="20" l="1"/>
  <c r="B42" i="20"/>
  <c r="A42" i="20" l="1"/>
  <c r="B43" i="20"/>
  <c r="A43" i="20" l="1"/>
  <c r="B22" i="1" l="1"/>
  <c r="A22" i="1" l="1"/>
  <c r="B23" i="1"/>
  <c r="A23" i="1" l="1"/>
  <c r="B24" i="1"/>
  <c r="A24" i="1" l="1"/>
  <c r="B25" i="1"/>
  <c r="A25" i="1" l="1"/>
  <c r="B26" i="1"/>
  <c r="A26" i="1" l="1"/>
  <c r="B27" i="1"/>
  <c r="A27" i="1" l="1"/>
  <c r="B28" i="1"/>
  <c r="A28" i="1" l="1"/>
  <c r="B29" i="1"/>
  <c r="A29" i="1" l="1"/>
  <c r="B30" i="1"/>
  <c r="A30" i="1" l="1"/>
  <c r="B31" i="1"/>
  <c r="A31" i="1" l="1"/>
  <c r="B32" i="1"/>
  <c r="A32" i="1" l="1"/>
  <c r="B33" i="1"/>
  <c r="A33" i="1" l="1"/>
  <c r="B34" i="1"/>
  <c r="A34" i="1" l="1"/>
  <c r="B35" i="1"/>
  <c r="A35" i="1" l="1"/>
  <c r="B36" i="1"/>
  <c r="A36" i="1" l="1"/>
  <c r="C9" i="29" l="1"/>
  <c r="B8" i="43" l="1"/>
  <c r="C24" i="43" s="1"/>
  <c r="C7" i="20"/>
  <c r="C10" i="29"/>
  <c r="D9" i="29"/>
  <c r="E9" i="29" s="1"/>
  <c r="C11" i="42"/>
  <c r="C14" i="44"/>
  <c r="C18" i="44" s="1"/>
  <c r="C25" i="20" l="1"/>
  <c r="G25" i="20"/>
  <c r="G26" i="20" s="1"/>
  <c r="G27" i="20" s="1"/>
  <c r="G28" i="20" s="1"/>
  <c r="G29" i="20" s="1"/>
  <c r="G30" i="20" s="1"/>
  <c r="G31" i="20" s="1"/>
  <c r="G32" i="20" s="1"/>
  <c r="G33" i="20" s="1"/>
  <c r="G34" i="20" s="1"/>
  <c r="G35" i="20" s="1"/>
  <c r="G36" i="20" s="1"/>
  <c r="G37" i="20" s="1"/>
  <c r="G38" i="20" s="1"/>
  <c r="G39" i="20" s="1"/>
  <c r="G40" i="20" s="1"/>
  <c r="G41" i="20" s="1"/>
  <c r="G42" i="20" s="1"/>
  <c r="G43" i="20" s="1"/>
  <c r="E25" i="20"/>
  <c r="D18" i="44"/>
  <c r="E18" i="44" s="1"/>
  <c r="F25" i="20"/>
  <c r="F26" i="20" s="1"/>
  <c r="F27" i="20" s="1"/>
  <c r="F28" i="20" s="1"/>
  <c r="F29" i="20" s="1"/>
  <c r="F30" i="20" s="1"/>
  <c r="F31" i="20" s="1"/>
  <c r="F32" i="20" s="1"/>
  <c r="F33" i="20" s="1"/>
  <c r="F34" i="20" s="1"/>
  <c r="F35" i="20" s="1"/>
  <c r="F36" i="20" s="1"/>
  <c r="F37" i="20" s="1"/>
  <c r="F38" i="20" s="1"/>
  <c r="F39" i="20" s="1"/>
  <c r="F40" i="20" s="1"/>
  <c r="F41" i="20" s="1"/>
  <c r="F42" i="20" s="1"/>
  <c r="F43" i="20" s="1"/>
  <c r="D25" i="20"/>
  <c r="E26" i="20"/>
  <c r="E27" i="20" s="1"/>
  <c r="E28" i="20" s="1"/>
  <c r="E29" i="20" s="1"/>
  <c r="E30" i="20" s="1"/>
  <c r="E31" i="20" s="1"/>
  <c r="E32" i="20" s="1"/>
  <c r="H25" i="20"/>
  <c r="H26" i="20" s="1"/>
  <c r="H27" i="20" s="1"/>
  <c r="H28" i="20" s="1"/>
  <c r="H29" i="20" s="1"/>
  <c r="H30" i="20" s="1"/>
  <c r="H31" i="20" s="1"/>
  <c r="H32" i="20" s="1"/>
  <c r="H33" i="20" s="1"/>
  <c r="H34" i="20" s="1"/>
  <c r="H35" i="20" s="1"/>
  <c r="H36" i="20" s="1"/>
  <c r="H37" i="20" s="1"/>
  <c r="H38" i="20" s="1"/>
  <c r="H39" i="20" s="1"/>
  <c r="H40" i="20" s="1"/>
  <c r="H41" i="20" s="1"/>
  <c r="H42" i="20" s="1"/>
  <c r="H43" i="20" s="1"/>
  <c r="C49" i="43"/>
  <c r="D49" i="43" s="1"/>
  <c r="D10" i="29"/>
  <c r="E10" i="29" s="1"/>
  <c r="C11" i="29"/>
  <c r="E33" i="20" l="1"/>
  <c r="E34" i="20" s="1"/>
  <c r="E35" i="20" s="1"/>
  <c r="E36" i="20" s="1"/>
  <c r="E37" i="20" s="1"/>
  <c r="E38" i="20" s="1"/>
  <c r="E39" i="20" s="1"/>
  <c r="E40" i="20" s="1"/>
  <c r="E41" i="20" s="1"/>
  <c r="E42" i="20" s="1"/>
  <c r="E43" i="20" s="1"/>
  <c r="D26" i="20"/>
  <c r="D27" i="20" s="1"/>
  <c r="D28" i="20" s="1"/>
  <c r="D29" i="20" s="1"/>
  <c r="D30" i="20" s="1"/>
  <c r="D31" i="20" s="1"/>
  <c r="D32" i="20" s="1"/>
  <c r="D33" i="20" s="1"/>
  <c r="D34" i="20" s="1"/>
  <c r="D35" i="20" s="1"/>
  <c r="D36" i="20" s="1"/>
  <c r="D37" i="20" s="1"/>
  <c r="D38" i="20" s="1"/>
  <c r="D39" i="20" s="1"/>
  <c r="D40" i="20" s="1"/>
  <c r="D41" i="20" s="1"/>
  <c r="D42" i="20" s="1"/>
  <c r="D43" i="20" s="1"/>
  <c r="I25" i="20"/>
  <c r="D24" i="43"/>
  <c r="E24" i="43" s="1"/>
  <c r="C25" i="43"/>
  <c r="C19" i="44"/>
  <c r="D19" i="44" s="1"/>
  <c r="E19" i="44" s="1"/>
  <c r="C26" i="20"/>
  <c r="C12" i="29"/>
  <c r="D11" i="29"/>
  <c r="E11" i="29" s="1"/>
  <c r="E49" i="43"/>
  <c r="C50" i="43"/>
  <c r="D50" i="43" s="1"/>
  <c r="D25" i="43" l="1"/>
  <c r="E25" i="43" s="1"/>
  <c r="C26" i="43"/>
  <c r="C20" i="44"/>
  <c r="J25" i="20"/>
  <c r="C27" i="20"/>
  <c r="I26" i="20"/>
  <c r="J26" i="20" s="1"/>
  <c r="E50" i="43"/>
  <c r="C51" i="43"/>
  <c r="D51" i="43" s="1"/>
  <c r="D12" i="29"/>
  <c r="E12" i="29" s="1"/>
  <c r="C13" i="29"/>
  <c r="D26" i="43" l="1"/>
  <c r="E26" i="43" s="1"/>
  <c r="C27" i="43"/>
  <c r="D20" i="44"/>
  <c r="E20" i="44" s="1"/>
  <c r="C21" i="44"/>
  <c r="C28" i="20"/>
  <c r="I27" i="20"/>
  <c r="J27" i="20" s="1"/>
  <c r="D13" i="29"/>
  <c r="E13" i="29" s="1"/>
  <c r="C14" i="29"/>
  <c r="C52" i="43"/>
  <c r="D52" i="43" s="1"/>
  <c r="E51" i="43"/>
  <c r="D27" i="43" l="1"/>
  <c r="E27" i="43" s="1"/>
  <c r="C28" i="43"/>
  <c r="C22" i="44"/>
  <c r="D21" i="44"/>
  <c r="E21" i="44" s="1"/>
  <c r="C29" i="20"/>
  <c r="I28" i="20"/>
  <c r="J28" i="20" s="1"/>
  <c r="C53" i="43"/>
  <c r="D53" i="43" s="1"/>
  <c r="E52" i="43"/>
  <c r="D14" i="29"/>
  <c r="E14" i="29" s="1"/>
  <c r="C15" i="29"/>
  <c r="D28" i="43" l="1"/>
  <c r="E28" i="43" s="1"/>
  <c r="C29" i="43"/>
  <c r="C23" i="44"/>
  <c r="D22" i="44"/>
  <c r="E22" i="44" s="1"/>
  <c r="C30" i="20"/>
  <c r="I29" i="20"/>
  <c r="J29" i="20" s="1"/>
  <c r="C54" i="43"/>
  <c r="D54" i="43" s="1"/>
  <c r="E53" i="43"/>
  <c r="C16" i="29"/>
  <c r="C21" i="31" s="1"/>
  <c r="D21" i="31" s="1"/>
  <c r="E21" i="31" s="1"/>
  <c r="D16" i="37" s="1"/>
  <c r="D15" i="29"/>
  <c r="E15" i="29" s="1"/>
  <c r="I21" i="31" l="1"/>
  <c r="F21" i="31"/>
  <c r="D29" i="43"/>
  <c r="E29" i="43" s="1"/>
  <c r="C30" i="43"/>
  <c r="D23" i="44"/>
  <c r="E23" i="44" s="1"/>
  <c r="C24" i="44"/>
  <c r="C31" i="20"/>
  <c r="I30" i="20"/>
  <c r="J30" i="20" s="1"/>
  <c r="D16" i="29"/>
  <c r="I17" i="1" s="1"/>
  <c r="J17" i="1" s="1"/>
  <c r="C17" i="29"/>
  <c r="C55" i="43"/>
  <c r="D55" i="43" s="1"/>
  <c r="E54" i="43"/>
  <c r="G21" i="31" l="1"/>
  <c r="H21" i="31" s="1"/>
  <c r="C39" i="37"/>
  <c r="O17" i="1"/>
  <c r="D39" i="37"/>
  <c r="J21" i="31"/>
  <c r="K21" i="31" s="1"/>
  <c r="D30" i="43"/>
  <c r="E30" i="43" s="1"/>
  <c r="C31" i="43"/>
  <c r="F19" i="49"/>
  <c r="G19" i="49" s="1"/>
  <c r="H19" i="49" s="1"/>
  <c r="C22" i="31"/>
  <c r="D22" i="31" s="1"/>
  <c r="D20" i="49"/>
  <c r="E20" i="49" s="1"/>
  <c r="C25" i="44"/>
  <c r="D24" i="44"/>
  <c r="E24" i="44" s="1"/>
  <c r="C32" i="20"/>
  <c r="I31" i="20"/>
  <c r="J31" i="20" s="1"/>
  <c r="E16" i="29"/>
  <c r="C17" i="1" s="1"/>
  <c r="D17" i="1" s="1"/>
  <c r="C56" i="43"/>
  <c r="D56" i="43" s="1"/>
  <c r="E55" i="43"/>
  <c r="D17" i="29"/>
  <c r="I18" i="1" s="1"/>
  <c r="J18" i="1" s="1"/>
  <c r="C18" i="29"/>
  <c r="C16" i="37" l="1"/>
  <c r="E17" i="1"/>
  <c r="F17" i="1" s="1"/>
  <c r="L21" i="31"/>
  <c r="P17" i="1"/>
  <c r="Q17" i="1" s="1"/>
  <c r="R17" i="1" s="1"/>
  <c r="K17" i="1"/>
  <c r="L17" i="1" s="1"/>
  <c r="F39" i="37"/>
  <c r="M39" i="37" s="1"/>
  <c r="F16" i="37"/>
  <c r="I19" i="49"/>
  <c r="D31" i="43"/>
  <c r="E31" i="43" s="1"/>
  <c r="C32" i="43"/>
  <c r="I20" i="49"/>
  <c r="C23" i="31"/>
  <c r="D23" i="31" s="1"/>
  <c r="D21" i="49"/>
  <c r="E21" i="49" s="1"/>
  <c r="F21" i="49" s="1"/>
  <c r="G21" i="49" s="1"/>
  <c r="H21" i="49" s="1"/>
  <c r="D25" i="44"/>
  <c r="E25" i="44" s="1"/>
  <c r="C26" i="44"/>
  <c r="C33" i="20"/>
  <c r="I32" i="20"/>
  <c r="J32" i="20" s="1"/>
  <c r="E20" i="42"/>
  <c r="F20" i="42"/>
  <c r="F40" i="37" s="1"/>
  <c r="E17" i="29"/>
  <c r="O18" i="1"/>
  <c r="C40" i="37"/>
  <c r="C57" i="43"/>
  <c r="D57" i="43" s="1"/>
  <c r="E56" i="43"/>
  <c r="E22" i="31"/>
  <c r="D18" i="29"/>
  <c r="I19" i="1" s="1"/>
  <c r="J19" i="1" s="1"/>
  <c r="C19" i="29"/>
  <c r="G39" i="37" l="1"/>
  <c r="J39" i="37"/>
  <c r="F22" i="31"/>
  <c r="D17" i="37"/>
  <c r="G20" i="42"/>
  <c r="F17" i="37"/>
  <c r="G16" i="37"/>
  <c r="J20" i="49"/>
  <c r="K20" i="49" s="1"/>
  <c r="J19" i="49"/>
  <c r="K19" i="49" s="1"/>
  <c r="D32" i="43"/>
  <c r="E32" i="43" s="1"/>
  <c r="C33" i="43"/>
  <c r="F20" i="49"/>
  <c r="G20" i="49" s="1"/>
  <c r="H20" i="49" s="1"/>
  <c r="C24" i="31"/>
  <c r="D24" i="31" s="1"/>
  <c r="E24" i="31" s="1"/>
  <c r="D19" i="37" s="1"/>
  <c r="D22" i="49"/>
  <c r="E22" i="49" s="1"/>
  <c r="D26" i="44"/>
  <c r="E26" i="44" s="1"/>
  <c r="C27" i="44"/>
  <c r="E18" i="29"/>
  <c r="C19" i="1" s="1"/>
  <c r="D19" i="1" s="1"/>
  <c r="C18" i="37" s="1"/>
  <c r="C18" i="1"/>
  <c r="D18" i="1" s="1"/>
  <c r="C34" i="20"/>
  <c r="I33" i="20"/>
  <c r="J33" i="20" s="1"/>
  <c r="H20" i="42"/>
  <c r="E21" i="42"/>
  <c r="F21" i="42"/>
  <c r="F41" i="37" s="1"/>
  <c r="I22" i="31"/>
  <c r="G22" i="31"/>
  <c r="H22" i="31" s="1"/>
  <c r="D19" i="29"/>
  <c r="I20" i="1" s="1"/>
  <c r="J20" i="1" s="1"/>
  <c r="C20" i="29"/>
  <c r="C41" i="37"/>
  <c r="O19" i="1"/>
  <c r="E57" i="43"/>
  <c r="C58" i="43"/>
  <c r="D58" i="43" s="1"/>
  <c r="K18" i="1"/>
  <c r="L18" i="1" s="1"/>
  <c r="P18" i="1"/>
  <c r="Q18" i="1" s="1"/>
  <c r="R18" i="1" s="1"/>
  <c r="E23" i="31"/>
  <c r="F23" i="31" l="1"/>
  <c r="D18" i="37"/>
  <c r="L19" i="49"/>
  <c r="K16" i="37"/>
  <c r="H16" i="37"/>
  <c r="C17" i="37"/>
  <c r="G17" i="37" s="1"/>
  <c r="H17" i="37" s="1"/>
  <c r="J17" i="37" s="1"/>
  <c r="O17" i="37" s="1"/>
  <c r="G21" i="42"/>
  <c r="F18" i="37"/>
  <c r="G18" i="37" s="1"/>
  <c r="J22" i="31"/>
  <c r="K22" i="31" s="1"/>
  <c r="D40" i="37"/>
  <c r="L20" i="49"/>
  <c r="I21" i="49"/>
  <c r="D33" i="43"/>
  <c r="E33" i="43" s="1"/>
  <c r="C34" i="43"/>
  <c r="I22" i="49"/>
  <c r="C25" i="31"/>
  <c r="D25" i="31" s="1"/>
  <c r="D23" i="49"/>
  <c r="E23" i="49" s="1"/>
  <c r="C28" i="44"/>
  <c r="D27" i="44"/>
  <c r="E27" i="44" s="1"/>
  <c r="E18" i="1"/>
  <c r="F18" i="1" s="1"/>
  <c r="E19" i="1"/>
  <c r="F19" i="1" s="1"/>
  <c r="I20" i="42"/>
  <c r="J20" i="42" s="1"/>
  <c r="C35" i="20"/>
  <c r="I34" i="20"/>
  <c r="J34" i="20" s="1"/>
  <c r="E22" i="42"/>
  <c r="F22" i="42"/>
  <c r="F42" i="37" s="1"/>
  <c r="H21" i="42"/>
  <c r="I23" i="31"/>
  <c r="G23" i="31"/>
  <c r="H23" i="31" s="1"/>
  <c r="F24" i="31"/>
  <c r="D20" i="29"/>
  <c r="I21" i="1" s="1"/>
  <c r="J21" i="1" s="1"/>
  <c r="C21" i="29"/>
  <c r="E19" i="29"/>
  <c r="O20" i="1"/>
  <c r="C42" i="37"/>
  <c r="C59" i="43"/>
  <c r="D59" i="43" s="1"/>
  <c r="E58" i="43"/>
  <c r="P19" i="1"/>
  <c r="Q19" i="1" s="1"/>
  <c r="R19" i="1" s="1"/>
  <c r="K19" i="1"/>
  <c r="L19" i="1" s="1"/>
  <c r="J40" i="37" l="1"/>
  <c r="G40" i="37"/>
  <c r="M40" i="37"/>
  <c r="J16" i="37"/>
  <c r="O16" i="37" s="1"/>
  <c r="M16" i="37"/>
  <c r="N16" i="37" s="1"/>
  <c r="L22" i="31"/>
  <c r="G24" i="31"/>
  <c r="K17" i="37"/>
  <c r="M17" i="37" s="1"/>
  <c r="N17" i="37" s="1"/>
  <c r="P17" i="37" s="1"/>
  <c r="H18" i="37"/>
  <c r="J18" i="37" s="1"/>
  <c r="O18" i="37" s="1"/>
  <c r="K18" i="37"/>
  <c r="M18" i="37" s="1"/>
  <c r="N18" i="37" s="1"/>
  <c r="G22" i="42"/>
  <c r="F19" i="37"/>
  <c r="J23" i="31"/>
  <c r="K23" i="31" s="1"/>
  <c r="D41" i="37"/>
  <c r="J21" i="49"/>
  <c r="K21" i="49" s="1"/>
  <c r="J22" i="49"/>
  <c r="K22" i="49" s="1"/>
  <c r="D34" i="43"/>
  <c r="E34" i="43" s="1"/>
  <c r="C35" i="43"/>
  <c r="I23" i="49"/>
  <c r="J23" i="49" s="1"/>
  <c r="F22" i="49"/>
  <c r="G22" i="49" s="1"/>
  <c r="H22" i="49" s="1"/>
  <c r="C26" i="31"/>
  <c r="D26" i="31" s="1"/>
  <c r="D24" i="49"/>
  <c r="E24" i="49" s="1"/>
  <c r="C29" i="44"/>
  <c r="D28" i="44"/>
  <c r="E28" i="44" s="1"/>
  <c r="I21" i="42"/>
  <c r="J21" i="42" s="1"/>
  <c r="C20" i="1"/>
  <c r="D20" i="1" s="1"/>
  <c r="C36" i="20"/>
  <c r="I35" i="20"/>
  <c r="J35" i="20" s="1"/>
  <c r="H22" i="42"/>
  <c r="E20" i="29"/>
  <c r="F23" i="42"/>
  <c r="E23" i="42"/>
  <c r="I24" i="31"/>
  <c r="P20" i="1"/>
  <c r="Q20" i="1" s="1"/>
  <c r="R20" i="1" s="1"/>
  <c r="K20" i="1"/>
  <c r="L20" i="1" s="1"/>
  <c r="E25" i="31"/>
  <c r="I39" i="37"/>
  <c r="L39" i="37"/>
  <c r="O39" i="37"/>
  <c r="P39" i="37" s="1"/>
  <c r="C22" i="29"/>
  <c r="D21" i="29"/>
  <c r="I22" i="1" s="1"/>
  <c r="J22" i="1" s="1"/>
  <c r="C60" i="43"/>
  <c r="D60" i="43" s="1"/>
  <c r="E59" i="43"/>
  <c r="O21" i="1"/>
  <c r="P16" i="37" l="1"/>
  <c r="F25" i="31"/>
  <c r="D20" i="37"/>
  <c r="G41" i="37"/>
  <c r="M41" i="37"/>
  <c r="J41" i="37"/>
  <c r="Q39" i="37"/>
  <c r="L21" i="49"/>
  <c r="C43" i="37"/>
  <c r="K21" i="1"/>
  <c r="L23" i="31"/>
  <c r="P18" i="37"/>
  <c r="G23" i="42"/>
  <c r="F20" i="37"/>
  <c r="H23" i="42"/>
  <c r="F43" i="37"/>
  <c r="E20" i="1"/>
  <c r="F20" i="1" s="1"/>
  <c r="C19" i="37"/>
  <c r="G19" i="37" s="1"/>
  <c r="H19" i="37" s="1"/>
  <c r="J19" i="37" s="1"/>
  <c r="O19" i="37" s="1"/>
  <c r="K23" i="49"/>
  <c r="J24" i="31"/>
  <c r="K24" i="31" s="1"/>
  <c r="D42" i="37"/>
  <c r="L22" i="49"/>
  <c r="F23" i="49"/>
  <c r="G23" i="49" s="1"/>
  <c r="H23" i="49" s="1"/>
  <c r="D35" i="43"/>
  <c r="E35" i="43" s="1"/>
  <c r="C36" i="43"/>
  <c r="I24" i="49"/>
  <c r="C27" i="31"/>
  <c r="D27" i="31" s="1"/>
  <c r="D25" i="49"/>
  <c r="E25" i="49" s="1"/>
  <c r="D29" i="44"/>
  <c r="E29" i="44" s="1"/>
  <c r="C30" i="44"/>
  <c r="I22" i="42"/>
  <c r="J22" i="42" s="1"/>
  <c r="C21" i="1"/>
  <c r="D21" i="1" s="1"/>
  <c r="C20" i="37" s="1"/>
  <c r="E21" i="29"/>
  <c r="C37" i="20"/>
  <c r="I36" i="20"/>
  <c r="J36" i="20" s="1"/>
  <c r="E24" i="42"/>
  <c r="F24" i="42"/>
  <c r="F44" i="37" s="1"/>
  <c r="G25" i="31"/>
  <c r="H25" i="31" s="1"/>
  <c r="I25" i="31"/>
  <c r="C23" i="29"/>
  <c r="D22" i="29"/>
  <c r="I23" i="1" s="1"/>
  <c r="J23" i="1" s="1"/>
  <c r="H24" i="31"/>
  <c r="E26" i="31"/>
  <c r="L40" i="37"/>
  <c r="I40" i="37"/>
  <c r="O40" i="37"/>
  <c r="P40" i="37" s="1"/>
  <c r="E60" i="43"/>
  <c r="C61" i="43"/>
  <c r="D61" i="43" s="1"/>
  <c r="L21" i="1"/>
  <c r="P21" i="1"/>
  <c r="O22" i="1"/>
  <c r="C44" i="37"/>
  <c r="F26" i="31" l="1"/>
  <c r="D21" i="37"/>
  <c r="Q40" i="37"/>
  <c r="G42" i="37"/>
  <c r="J42" i="37"/>
  <c r="M42" i="37"/>
  <c r="G20" i="37"/>
  <c r="I23" i="42"/>
  <c r="J23" i="42" s="1"/>
  <c r="Q21" i="1"/>
  <c r="R21" i="1" s="1"/>
  <c r="L23" i="49"/>
  <c r="G24" i="42"/>
  <c r="F21" i="37"/>
  <c r="J24" i="49"/>
  <c r="K24" i="49" s="1"/>
  <c r="L24" i="31"/>
  <c r="J25" i="31"/>
  <c r="K25" i="31" s="1"/>
  <c r="D43" i="37"/>
  <c r="F24" i="49"/>
  <c r="G24" i="49" s="1"/>
  <c r="H24" i="49" s="1"/>
  <c r="C37" i="43"/>
  <c r="D36" i="43"/>
  <c r="E36" i="43" s="1"/>
  <c r="I25" i="49"/>
  <c r="C28" i="31"/>
  <c r="D28" i="31" s="1"/>
  <c r="D26" i="49"/>
  <c r="E26" i="49" s="1"/>
  <c r="K19" i="37"/>
  <c r="C31" i="44"/>
  <c r="D30" i="44"/>
  <c r="E30" i="44" s="1"/>
  <c r="C22" i="1"/>
  <c r="D22" i="1" s="1"/>
  <c r="C21" i="37" s="1"/>
  <c r="E21" i="1"/>
  <c r="F21" i="1" s="1"/>
  <c r="C38" i="20"/>
  <c r="I37" i="20"/>
  <c r="J37" i="20" s="1"/>
  <c r="H24" i="42"/>
  <c r="E25" i="42"/>
  <c r="F25" i="42"/>
  <c r="F45" i="37" s="1"/>
  <c r="I26" i="31"/>
  <c r="G26" i="31"/>
  <c r="H26" i="31" s="1"/>
  <c r="R39" i="37"/>
  <c r="O23" i="1"/>
  <c r="C45" i="37"/>
  <c r="E22" i="29"/>
  <c r="D23" i="29"/>
  <c r="I24" i="1" s="1"/>
  <c r="J24" i="1" s="1"/>
  <c r="C24" i="29"/>
  <c r="L41" i="37"/>
  <c r="I41" i="37"/>
  <c r="O41" i="37"/>
  <c r="P41" i="37" s="1"/>
  <c r="E27" i="31"/>
  <c r="P22" i="1"/>
  <c r="Q22" i="1" s="1"/>
  <c r="R22" i="1" s="1"/>
  <c r="K22" i="1"/>
  <c r="L22" i="1" s="1"/>
  <c r="E61" i="43"/>
  <c r="C62" i="43"/>
  <c r="D62" i="43" s="1"/>
  <c r="G43" i="37" l="1"/>
  <c r="M43" i="37"/>
  <c r="J43" i="37"/>
  <c r="Q41" i="37"/>
  <c r="F27" i="31"/>
  <c r="G27" i="31" s="1"/>
  <c r="D22" i="37"/>
  <c r="M19" i="37"/>
  <c r="N19" i="37" s="1"/>
  <c r="P19" i="37" s="1"/>
  <c r="G21" i="37"/>
  <c r="L24" i="49"/>
  <c r="L25" i="31"/>
  <c r="G25" i="42"/>
  <c r="F22" i="37"/>
  <c r="J26" i="31"/>
  <c r="K26" i="31" s="1"/>
  <c r="D44" i="37"/>
  <c r="J25" i="49"/>
  <c r="K25" i="49" s="1"/>
  <c r="F25" i="49"/>
  <c r="G25" i="49" s="1"/>
  <c r="H25" i="49" s="1"/>
  <c r="D37" i="43"/>
  <c r="E37" i="43" s="1"/>
  <c r="C38" i="43"/>
  <c r="F26" i="49"/>
  <c r="G26" i="49" s="1"/>
  <c r="H26" i="49" s="1"/>
  <c r="C29" i="31"/>
  <c r="D29" i="31" s="1"/>
  <c r="D27" i="49"/>
  <c r="E27" i="49" s="1"/>
  <c r="D31" i="44"/>
  <c r="E31" i="44" s="1"/>
  <c r="C32" i="44"/>
  <c r="I24" i="42"/>
  <c r="J24" i="42" s="1"/>
  <c r="C23" i="1"/>
  <c r="D23" i="1" s="1"/>
  <c r="H20" i="37"/>
  <c r="J20" i="37" s="1"/>
  <c r="O20" i="37" s="1"/>
  <c r="K20" i="37"/>
  <c r="M20" i="37" s="1"/>
  <c r="N20" i="37" s="1"/>
  <c r="E22" i="1"/>
  <c r="F22" i="1" s="1"/>
  <c r="I38" i="20"/>
  <c r="J38" i="20" s="1"/>
  <c r="C39" i="20"/>
  <c r="E26" i="42"/>
  <c r="F26" i="42"/>
  <c r="R40" i="37"/>
  <c r="H25" i="42"/>
  <c r="I27" i="31"/>
  <c r="E23" i="29"/>
  <c r="C63" i="43"/>
  <c r="D63" i="43" s="1"/>
  <c r="E62" i="43"/>
  <c r="E28" i="31"/>
  <c r="P23" i="1"/>
  <c r="Q23" i="1" s="1"/>
  <c r="R23" i="1" s="1"/>
  <c r="K23" i="1"/>
  <c r="L23" i="1" s="1"/>
  <c r="D24" i="29"/>
  <c r="I25" i="1" s="1"/>
  <c r="C25" i="29"/>
  <c r="C30" i="31" s="1"/>
  <c r="L42" i="37"/>
  <c r="O42" i="37"/>
  <c r="P42" i="37" s="1"/>
  <c r="I42" i="37"/>
  <c r="O24" i="1"/>
  <c r="C46" i="37"/>
  <c r="G44" i="37" l="1"/>
  <c r="J44" i="37"/>
  <c r="M44" i="37"/>
  <c r="Q42" i="37"/>
  <c r="F28" i="31"/>
  <c r="G28" i="31" s="1"/>
  <c r="H28" i="31" s="1"/>
  <c r="D23" i="37"/>
  <c r="L26" i="31"/>
  <c r="E23" i="1"/>
  <c r="F23" i="1" s="1"/>
  <c r="C22" i="37"/>
  <c r="G22" i="37" s="1"/>
  <c r="K22" i="37" s="1"/>
  <c r="M22" i="37" s="1"/>
  <c r="N22" i="37" s="1"/>
  <c r="G26" i="42"/>
  <c r="F23" i="37"/>
  <c r="H26" i="42"/>
  <c r="F46" i="37"/>
  <c r="J27" i="31"/>
  <c r="K27" i="31" s="1"/>
  <c r="D45" i="37"/>
  <c r="L25" i="49"/>
  <c r="C39" i="43"/>
  <c r="D38" i="43"/>
  <c r="E38" i="43" s="1"/>
  <c r="I26" i="49"/>
  <c r="F27" i="49"/>
  <c r="G27" i="49" s="1"/>
  <c r="H27" i="49" s="1"/>
  <c r="P20" i="37"/>
  <c r="D30" i="31"/>
  <c r="D28" i="49"/>
  <c r="E28" i="49" s="1"/>
  <c r="C33" i="44"/>
  <c r="D32" i="44"/>
  <c r="E32" i="44" s="1"/>
  <c r="I25" i="42"/>
  <c r="J25" i="42" s="1"/>
  <c r="C24" i="1"/>
  <c r="D24" i="1" s="1"/>
  <c r="C23" i="37" s="1"/>
  <c r="K21" i="37"/>
  <c r="M21" i="37" s="1"/>
  <c r="N21" i="37" s="1"/>
  <c r="H21" i="37"/>
  <c r="J21" i="37" s="1"/>
  <c r="O21" i="37" s="1"/>
  <c r="I39" i="20"/>
  <c r="J39" i="20" s="1"/>
  <c r="C40" i="20"/>
  <c r="E27" i="42"/>
  <c r="F27" i="42"/>
  <c r="I28" i="31"/>
  <c r="R41" i="37"/>
  <c r="O25" i="1"/>
  <c r="C47" i="37"/>
  <c r="H27" i="31"/>
  <c r="P24" i="1"/>
  <c r="Q24" i="1" s="1"/>
  <c r="R24" i="1" s="1"/>
  <c r="K24" i="1"/>
  <c r="L24" i="1" s="1"/>
  <c r="E29" i="31"/>
  <c r="D24" i="37" s="1"/>
  <c r="D25" i="29"/>
  <c r="I26" i="1" s="1"/>
  <c r="J26" i="1" s="1"/>
  <c r="C26" i="29"/>
  <c r="E24" i="29"/>
  <c r="C64" i="43"/>
  <c r="D64" i="43" s="1"/>
  <c r="E63" i="43"/>
  <c r="I43" i="37"/>
  <c r="L43" i="37"/>
  <c r="O43" i="37"/>
  <c r="P43" i="37" s="1"/>
  <c r="G23" i="37" l="1"/>
  <c r="M45" i="37"/>
  <c r="J45" i="37"/>
  <c r="G45" i="37"/>
  <c r="Q43" i="37"/>
  <c r="F29" i="31"/>
  <c r="G29" i="31" s="1"/>
  <c r="H29" i="31" s="1"/>
  <c r="I26" i="42"/>
  <c r="J26" i="42" s="1"/>
  <c r="H27" i="42"/>
  <c r="F47" i="37"/>
  <c r="G27" i="42"/>
  <c r="F24" i="37"/>
  <c r="J26" i="49"/>
  <c r="K26" i="49" s="1"/>
  <c r="L26" i="49" s="1"/>
  <c r="J28" i="31"/>
  <c r="K28" i="31" s="1"/>
  <c r="D46" i="37"/>
  <c r="D39" i="43"/>
  <c r="E39" i="43" s="1"/>
  <c r="C40" i="43"/>
  <c r="I27" i="49"/>
  <c r="F28" i="49"/>
  <c r="G28" i="49" s="1"/>
  <c r="H28" i="49" s="1"/>
  <c r="H22" i="37"/>
  <c r="J22" i="37" s="1"/>
  <c r="O22" i="37" s="1"/>
  <c r="P22" i="37" s="1"/>
  <c r="C31" i="31"/>
  <c r="D31" i="31" s="1"/>
  <c r="D29" i="49"/>
  <c r="E29" i="49" s="1"/>
  <c r="L27" i="31"/>
  <c r="C34" i="44"/>
  <c r="D33" i="44"/>
  <c r="E33" i="44" s="1"/>
  <c r="P21" i="37"/>
  <c r="C25" i="1"/>
  <c r="D25" i="1" s="1"/>
  <c r="C24" i="37" s="1"/>
  <c r="E24" i="1"/>
  <c r="F24" i="1" s="1"/>
  <c r="I40" i="20"/>
  <c r="J40" i="20" s="1"/>
  <c r="C41" i="20"/>
  <c r="F28" i="42"/>
  <c r="E28" i="42"/>
  <c r="R42" i="37"/>
  <c r="I29" i="31"/>
  <c r="E64" i="43"/>
  <c r="C65" i="43"/>
  <c r="D65" i="43" s="1"/>
  <c r="E30" i="31"/>
  <c r="K25" i="1"/>
  <c r="L25" i="1" s="1"/>
  <c r="P25" i="1"/>
  <c r="Q25" i="1" s="1"/>
  <c r="R25" i="1" s="1"/>
  <c r="C27" i="29"/>
  <c r="D26" i="29"/>
  <c r="I27" i="1" s="1"/>
  <c r="J27" i="1" s="1"/>
  <c r="E25" i="29"/>
  <c r="C48" i="37"/>
  <c r="O26" i="1"/>
  <c r="I44" i="37"/>
  <c r="L44" i="37"/>
  <c r="O44" i="37"/>
  <c r="P44" i="37" s="1"/>
  <c r="Q44" i="37" l="1"/>
  <c r="G46" i="37"/>
  <c r="M46" i="37"/>
  <c r="J46" i="37"/>
  <c r="F30" i="31"/>
  <c r="G30" i="31" s="1"/>
  <c r="H30" i="31" s="1"/>
  <c r="D25" i="37"/>
  <c r="G24" i="37"/>
  <c r="H24" i="37" s="1"/>
  <c r="J24" i="37" s="1"/>
  <c r="O24" i="37" s="1"/>
  <c r="I27" i="42"/>
  <c r="J27" i="42" s="1"/>
  <c r="L28" i="31"/>
  <c r="G28" i="42"/>
  <c r="F25" i="37"/>
  <c r="H28" i="42"/>
  <c r="F48" i="37"/>
  <c r="J27" i="49"/>
  <c r="K27" i="49" s="1"/>
  <c r="L27" i="49" s="1"/>
  <c r="J29" i="31"/>
  <c r="K29" i="31" s="1"/>
  <c r="D47" i="37"/>
  <c r="E25" i="1"/>
  <c r="F25" i="1" s="1"/>
  <c r="I28" i="49"/>
  <c r="D40" i="43"/>
  <c r="E40" i="43" s="1"/>
  <c r="C41" i="43"/>
  <c r="C42" i="43" s="1"/>
  <c r="C43" i="43" s="1"/>
  <c r="F29" i="49"/>
  <c r="G29" i="49" s="1"/>
  <c r="H29" i="49" s="1"/>
  <c r="C32" i="31"/>
  <c r="D32" i="31" s="1"/>
  <c r="D30" i="49"/>
  <c r="E30" i="49" s="1"/>
  <c r="D34" i="44"/>
  <c r="E34" i="44" s="1"/>
  <c r="C35" i="44"/>
  <c r="C26" i="1"/>
  <c r="D26" i="1" s="1"/>
  <c r="C25" i="37" s="1"/>
  <c r="K23" i="37"/>
  <c r="H23" i="37"/>
  <c r="J23" i="37" s="1"/>
  <c r="O23" i="37" s="1"/>
  <c r="C42" i="20"/>
  <c r="I41" i="20"/>
  <c r="J41" i="20" s="1"/>
  <c r="E29" i="42"/>
  <c r="F29" i="42"/>
  <c r="R43" i="37"/>
  <c r="I30" i="31"/>
  <c r="L45" i="37"/>
  <c r="I45" i="37"/>
  <c r="O45" i="37"/>
  <c r="P45" i="37" s="1"/>
  <c r="E65" i="43"/>
  <c r="C66" i="43"/>
  <c r="D66" i="43" s="1"/>
  <c r="E31" i="31"/>
  <c r="P26" i="1"/>
  <c r="Q26" i="1" s="1"/>
  <c r="R26" i="1" s="1"/>
  <c r="K26" i="1"/>
  <c r="L26" i="1" s="1"/>
  <c r="O27" i="1"/>
  <c r="C49" i="37"/>
  <c r="E26" i="29"/>
  <c r="D27" i="29"/>
  <c r="I28" i="1" s="1"/>
  <c r="J28" i="1" s="1"/>
  <c r="C28" i="29"/>
  <c r="I28" i="42" l="1"/>
  <c r="J28" i="42" s="1"/>
  <c r="M47" i="37"/>
  <c r="J47" i="37"/>
  <c r="G47" i="37"/>
  <c r="F31" i="31"/>
  <c r="G31" i="31" s="1"/>
  <c r="H31" i="31" s="1"/>
  <c r="D26" i="37"/>
  <c r="Q45" i="37"/>
  <c r="K24" i="37"/>
  <c r="M24" i="37" s="1"/>
  <c r="N24" i="37" s="1"/>
  <c r="P24" i="37" s="1"/>
  <c r="M23" i="37"/>
  <c r="N23" i="37" s="1"/>
  <c r="P23" i="37" s="1"/>
  <c r="G25" i="37"/>
  <c r="K25" i="37" s="1"/>
  <c r="M25" i="37" s="1"/>
  <c r="N25" i="37" s="1"/>
  <c r="L29" i="31"/>
  <c r="H29" i="42"/>
  <c r="F49" i="37"/>
  <c r="G29" i="42"/>
  <c r="F26" i="37"/>
  <c r="J28" i="49"/>
  <c r="K28" i="49" s="1"/>
  <c r="L28" i="49" s="1"/>
  <c r="J30" i="31"/>
  <c r="K30" i="31" s="1"/>
  <c r="D48" i="37"/>
  <c r="I29" i="49"/>
  <c r="D41" i="43"/>
  <c r="E41" i="43" s="1"/>
  <c r="D42" i="43"/>
  <c r="E42" i="43" s="1"/>
  <c r="F30" i="49"/>
  <c r="G30" i="49" s="1"/>
  <c r="H30" i="49" s="1"/>
  <c r="C33" i="31"/>
  <c r="D33" i="31" s="1"/>
  <c r="D31" i="49"/>
  <c r="E31" i="49" s="1"/>
  <c r="C36" i="44"/>
  <c r="D35" i="44"/>
  <c r="E35" i="44" s="1"/>
  <c r="E26" i="1"/>
  <c r="F26" i="1" s="1"/>
  <c r="C27" i="1"/>
  <c r="D27" i="1" s="1"/>
  <c r="C26" i="37" s="1"/>
  <c r="C43" i="20"/>
  <c r="I42" i="20"/>
  <c r="J42" i="20" s="1"/>
  <c r="E30" i="42"/>
  <c r="F30" i="42"/>
  <c r="F50" i="37" s="1"/>
  <c r="E27" i="29"/>
  <c r="I31" i="31"/>
  <c r="R44" i="37"/>
  <c r="C50" i="37"/>
  <c r="O28" i="1"/>
  <c r="O46" i="37"/>
  <c r="P46" i="37" s="1"/>
  <c r="L46" i="37"/>
  <c r="I46" i="37"/>
  <c r="E32" i="31"/>
  <c r="P27" i="1"/>
  <c r="Q27" i="1" s="1"/>
  <c r="R27" i="1" s="1"/>
  <c r="K27" i="1"/>
  <c r="L27" i="1" s="1"/>
  <c r="C67" i="43"/>
  <c r="E66" i="43"/>
  <c r="D28" i="29"/>
  <c r="I29" i="1" s="1"/>
  <c r="J29" i="1" s="1"/>
  <c r="C29" i="29"/>
  <c r="H25" i="37"/>
  <c r="J25" i="37" s="1"/>
  <c r="O25" i="37" s="1"/>
  <c r="Q46" i="37" l="1"/>
  <c r="D67" i="43"/>
  <c r="E67" i="43" s="1"/>
  <c r="E68" i="43" s="1"/>
  <c r="F32" i="31"/>
  <c r="G32" i="31" s="1"/>
  <c r="H32" i="31" s="1"/>
  <c r="D27" i="37"/>
  <c r="J48" i="37"/>
  <c r="G48" i="37"/>
  <c r="M48" i="37"/>
  <c r="E43" i="43"/>
  <c r="G26" i="37"/>
  <c r="H26" i="37" s="1"/>
  <c r="J26" i="37" s="1"/>
  <c r="O26" i="37" s="1"/>
  <c r="L30" i="31"/>
  <c r="I29" i="42"/>
  <c r="J29" i="42" s="1"/>
  <c r="G30" i="42"/>
  <c r="F27" i="37"/>
  <c r="J29" i="49"/>
  <c r="K29" i="49" s="1"/>
  <c r="L29" i="49" s="1"/>
  <c r="J31" i="31"/>
  <c r="K31" i="31" s="1"/>
  <c r="D49" i="37"/>
  <c r="I30" i="49"/>
  <c r="I31" i="49"/>
  <c r="C34" i="31"/>
  <c r="D34" i="31" s="1"/>
  <c r="D32" i="49"/>
  <c r="E32" i="49" s="1"/>
  <c r="C37" i="44"/>
  <c r="D37" i="44" s="1"/>
  <c r="E37" i="44" s="1"/>
  <c r="D36" i="44"/>
  <c r="E27" i="1"/>
  <c r="F27" i="1" s="1"/>
  <c r="C28" i="1"/>
  <c r="D28" i="1" s="1"/>
  <c r="C27" i="37" s="1"/>
  <c r="E28" i="29"/>
  <c r="I43" i="20"/>
  <c r="E31" i="42"/>
  <c r="F31" i="42"/>
  <c r="H30" i="42"/>
  <c r="R45" i="37"/>
  <c r="I32" i="31"/>
  <c r="O47" i="37"/>
  <c r="P47" i="37" s="1"/>
  <c r="I47" i="37"/>
  <c r="L47" i="37"/>
  <c r="E33" i="31"/>
  <c r="D29" i="29"/>
  <c r="I30" i="1" s="1"/>
  <c r="J30" i="1" s="1"/>
  <c r="C30" i="29"/>
  <c r="P25" i="37"/>
  <c r="O29" i="1"/>
  <c r="C51" i="37"/>
  <c r="K28" i="1"/>
  <c r="L28" i="1" s="1"/>
  <c r="P28" i="1"/>
  <c r="Q28" i="1" s="1"/>
  <c r="R28" i="1" s="1"/>
  <c r="Q47" i="37" l="1"/>
  <c r="C30" i="21"/>
  <c r="C31" i="21" s="1"/>
  <c r="F33" i="31"/>
  <c r="G33" i="31" s="1"/>
  <c r="H33" i="31" s="1"/>
  <c r="D28" i="37"/>
  <c r="J49" i="37"/>
  <c r="G49" i="37"/>
  <c r="M49" i="37"/>
  <c r="K26" i="37"/>
  <c r="M26" i="37" s="1"/>
  <c r="N26" i="37" s="1"/>
  <c r="P26" i="37" s="1"/>
  <c r="G27" i="37"/>
  <c r="L31" i="31"/>
  <c r="H31" i="42"/>
  <c r="F51" i="37"/>
  <c r="G31" i="42"/>
  <c r="I31" i="42" s="1"/>
  <c r="J31" i="42" s="1"/>
  <c r="F28" i="37"/>
  <c r="J30" i="49"/>
  <c r="K30" i="49" s="1"/>
  <c r="L30" i="49" s="1"/>
  <c r="J32" i="31"/>
  <c r="K32" i="31" s="1"/>
  <c r="D50" i="37"/>
  <c r="J31" i="49"/>
  <c r="K31" i="49" s="1"/>
  <c r="F31" i="49"/>
  <c r="G31" i="49" s="1"/>
  <c r="H31" i="49" s="1"/>
  <c r="F32" i="49"/>
  <c r="G32" i="49" s="1"/>
  <c r="H32" i="49" s="1"/>
  <c r="C35" i="31"/>
  <c r="D35" i="31" s="1"/>
  <c r="D33" i="49"/>
  <c r="E33" i="49" s="1"/>
  <c r="E36" i="44"/>
  <c r="E38" i="44" s="1"/>
  <c r="D38" i="44"/>
  <c r="I30" i="42"/>
  <c r="J30" i="42" s="1"/>
  <c r="C29" i="1"/>
  <c r="D29" i="1" s="1"/>
  <c r="C28" i="37" s="1"/>
  <c r="E28" i="1"/>
  <c r="F28" i="1" s="1"/>
  <c r="J43" i="20"/>
  <c r="J44" i="20" s="1"/>
  <c r="I44" i="20"/>
  <c r="E32" i="42"/>
  <c r="F32" i="42"/>
  <c r="F52" i="37" s="1"/>
  <c r="I33" i="31"/>
  <c r="R46" i="37"/>
  <c r="E29" i="29"/>
  <c r="C31" i="29"/>
  <c r="D30" i="29"/>
  <c r="I31" i="1" s="1"/>
  <c r="J31" i="1" s="1"/>
  <c r="O48" i="37"/>
  <c r="P48" i="37" s="1"/>
  <c r="I48" i="37"/>
  <c r="L48" i="37"/>
  <c r="O30" i="1"/>
  <c r="C52" i="37"/>
  <c r="K29" i="1"/>
  <c r="L29" i="1" s="1"/>
  <c r="P29" i="1"/>
  <c r="Q29" i="1" s="1"/>
  <c r="R29" i="1" s="1"/>
  <c r="E34" i="31"/>
  <c r="Q48" i="37" l="1"/>
  <c r="G25" i="38"/>
  <c r="G50" i="37"/>
  <c r="M50" i="37"/>
  <c r="J50" i="37"/>
  <c r="F34" i="31"/>
  <c r="G34" i="31" s="1"/>
  <c r="H34" i="31" s="1"/>
  <c r="D29" i="37"/>
  <c r="C21" i="21"/>
  <c r="G16" i="38" s="1"/>
  <c r="G28" i="37"/>
  <c r="L32" i="31"/>
  <c r="L31" i="49"/>
  <c r="G32" i="42"/>
  <c r="F29" i="37"/>
  <c r="J33" i="31"/>
  <c r="K33" i="31" s="1"/>
  <c r="D51" i="37"/>
  <c r="I32" i="49"/>
  <c r="F33" i="49"/>
  <c r="G33" i="49" s="1"/>
  <c r="H33" i="49" s="1"/>
  <c r="C36" i="31"/>
  <c r="D36" i="31" s="1"/>
  <c r="D34" i="49"/>
  <c r="E34" i="49" s="1"/>
  <c r="K27" i="37"/>
  <c r="M27" i="37" s="1"/>
  <c r="N27" i="37" s="1"/>
  <c r="H27" i="37"/>
  <c r="J27" i="37" s="1"/>
  <c r="O27" i="37" s="1"/>
  <c r="C30" i="1"/>
  <c r="D30" i="1" s="1"/>
  <c r="E29" i="1"/>
  <c r="F29" i="1" s="1"/>
  <c r="E33" i="42"/>
  <c r="F33" i="42"/>
  <c r="H32" i="42"/>
  <c r="I34" i="31"/>
  <c r="R47" i="37"/>
  <c r="P30" i="1"/>
  <c r="Q30" i="1" s="1"/>
  <c r="R30" i="1" s="1"/>
  <c r="K30" i="1"/>
  <c r="L30" i="1" s="1"/>
  <c r="I49" i="37"/>
  <c r="L49" i="37"/>
  <c r="O49" i="37"/>
  <c r="P49" i="37" s="1"/>
  <c r="D31" i="29"/>
  <c r="I32" i="1" s="1"/>
  <c r="J32" i="1" s="1"/>
  <c r="C32" i="29"/>
  <c r="E35" i="31"/>
  <c r="C53" i="37"/>
  <c r="O31" i="1"/>
  <c r="E30" i="29"/>
  <c r="C37" i="31" l="1"/>
  <c r="D37" i="31" s="1"/>
  <c r="C33" i="29"/>
  <c r="Q49" i="37"/>
  <c r="G51" i="37"/>
  <c r="M51" i="37"/>
  <c r="J51" i="37"/>
  <c r="F35" i="31"/>
  <c r="G35" i="31" s="1"/>
  <c r="H35" i="31" s="1"/>
  <c r="D30" i="37"/>
  <c r="I32" i="42"/>
  <c r="J32" i="42" s="1"/>
  <c r="L33" i="31"/>
  <c r="H33" i="42"/>
  <c r="F53" i="37"/>
  <c r="C29" i="37"/>
  <c r="G29" i="37" s="1"/>
  <c r="H29" i="37" s="1"/>
  <c r="J29" i="37" s="1"/>
  <c r="O29" i="37" s="1"/>
  <c r="G33" i="42"/>
  <c r="F30" i="37"/>
  <c r="J34" i="31"/>
  <c r="K34" i="31" s="1"/>
  <c r="D52" i="37"/>
  <c r="J32" i="49"/>
  <c r="K32" i="49" s="1"/>
  <c r="L32" i="49" s="1"/>
  <c r="I33" i="49"/>
  <c r="I34" i="49"/>
  <c r="C31" i="1"/>
  <c r="D31" i="1" s="1"/>
  <c r="E30" i="1"/>
  <c r="F30" i="1" s="1"/>
  <c r="H28" i="37"/>
  <c r="J28" i="37" s="1"/>
  <c r="O28" i="37" s="1"/>
  <c r="K28" i="37"/>
  <c r="M28" i="37" s="1"/>
  <c r="N28" i="37" s="1"/>
  <c r="P27" i="37"/>
  <c r="E34" i="42"/>
  <c r="F34" i="42"/>
  <c r="I35" i="31"/>
  <c r="R48" i="37"/>
  <c r="E31" i="29"/>
  <c r="E36" i="31"/>
  <c r="L50" i="37"/>
  <c r="I50" i="37"/>
  <c r="O50" i="37"/>
  <c r="P50" i="37" s="1"/>
  <c r="P31" i="1"/>
  <c r="Q31" i="1" s="1"/>
  <c r="R31" i="1" s="1"/>
  <c r="K31" i="1"/>
  <c r="L31" i="1" s="1"/>
  <c r="D32" i="29"/>
  <c r="I33" i="1" s="1"/>
  <c r="J33" i="1" s="1"/>
  <c r="O32" i="1"/>
  <c r="C54" i="37"/>
  <c r="I33" i="42" l="1"/>
  <c r="J33" i="42" s="1"/>
  <c r="Q50" i="37"/>
  <c r="G52" i="37"/>
  <c r="J52" i="37"/>
  <c r="M52" i="37"/>
  <c r="F36" i="31"/>
  <c r="G36" i="31" s="1"/>
  <c r="H36" i="31" s="1"/>
  <c r="D31" i="37"/>
  <c r="L34" i="31"/>
  <c r="K29" i="37"/>
  <c r="M29" i="37" s="1"/>
  <c r="N29" i="37" s="1"/>
  <c r="P29" i="37" s="1"/>
  <c r="E31" i="1"/>
  <c r="F31" i="1" s="1"/>
  <c r="C30" i="37"/>
  <c r="G30" i="37" s="1"/>
  <c r="H30" i="37" s="1"/>
  <c r="J30" i="37" s="1"/>
  <c r="O30" i="37" s="1"/>
  <c r="G34" i="42"/>
  <c r="F31" i="37"/>
  <c r="H34" i="42"/>
  <c r="F54" i="37"/>
  <c r="J35" i="31"/>
  <c r="K35" i="31" s="1"/>
  <c r="D53" i="37"/>
  <c r="J34" i="49"/>
  <c r="K34" i="49" s="1"/>
  <c r="J33" i="49"/>
  <c r="K33" i="49" s="1"/>
  <c r="L33" i="49" s="1"/>
  <c r="F34" i="49"/>
  <c r="G34" i="49" s="1"/>
  <c r="H34" i="49" s="1"/>
  <c r="C38" i="31"/>
  <c r="D38" i="31" s="1"/>
  <c r="D36" i="49"/>
  <c r="E36" i="49" s="1"/>
  <c r="C32" i="1"/>
  <c r="D32" i="1" s="1"/>
  <c r="C31" i="37" s="1"/>
  <c r="R49" i="37"/>
  <c r="P28" i="37"/>
  <c r="E32" i="29"/>
  <c r="E35" i="42"/>
  <c r="F35" i="42"/>
  <c r="I36" i="31"/>
  <c r="O33" i="1"/>
  <c r="C55" i="37"/>
  <c r="C34" i="29"/>
  <c r="D33" i="29"/>
  <c r="I34" i="1" s="1"/>
  <c r="J34" i="1" s="1"/>
  <c r="K32" i="1"/>
  <c r="L32" i="1" s="1"/>
  <c r="P32" i="1"/>
  <c r="Q32" i="1" s="1"/>
  <c r="R32" i="1" s="1"/>
  <c r="E37" i="31"/>
  <c r="I51" i="37"/>
  <c r="L51" i="37"/>
  <c r="O51" i="37"/>
  <c r="P51" i="37" s="1"/>
  <c r="Q51" i="37" l="1"/>
  <c r="F37" i="31"/>
  <c r="G37" i="31" s="1"/>
  <c r="H37" i="31" s="1"/>
  <c r="D32" i="37"/>
  <c r="G53" i="37"/>
  <c r="M53" i="37"/>
  <c r="J53" i="37"/>
  <c r="I34" i="42"/>
  <c r="J34" i="42" s="1"/>
  <c r="K30" i="37"/>
  <c r="M30" i="37" s="1"/>
  <c r="N30" i="37" s="1"/>
  <c r="P30" i="37" s="1"/>
  <c r="G31" i="37"/>
  <c r="L35" i="31"/>
  <c r="L34" i="49"/>
  <c r="G35" i="42"/>
  <c r="F32" i="37"/>
  <c r="H35" i="42"/>
  <c r="F55" i="37"/>
  <c r="J36" i="31"/>
  <c r="K36" i="31" s="1"/>
  <c r="D54" i="37"/>
  <c r="I36" i="49"/>
  <c r="C39" i="31"/>
  <c r="D39" i="31" s="1"/>
  <c r="D37" i="49"/>
  <c r="E37" i="49" s="1"/>
  <c r="C33" i="1"/>
  <c r="D33" i="1" s="1"/>
  <c r="C32" i="37" s="1"/>
  <c r="E32" i="1"/>
  <c r="F32" i="1" s="1"/>
  <c r="E33" i="29"/>
  <c r="F36" i="42"/>
  <c r="E36" i="42"/>
  <c r="I37" i="31"/>
  <c r="R50" i="37"/>
  <c r="O34" i="1"/>
  <c r="C56" i="37"/>
  <c r="I52" i="37"/>
  <c r="O52" i="37"/>
  <c r="P52" i="37" s="1"/>
  <c r="L52" i="37"/>
  <c r="E38" i="31"/>
  <c r="K33" i="1"/>
  <c r="L33" i="1" s="1"/>
  <c r="P33" i="1"/>
  <c r="Q33" i="1" s="1"/>
  <c r="R33" i="1" s="1"/>
  <c r="D34" i="29"/>
  <c r="I35" i="1" s="1"/>
  <c r="J35" i="1" s="1"/>
  <c r="C35" i="29"/>
  <c r="F38" i="31" l="1"/>
  <c r="D33" i="37"/>
  <c r="Q52" i="37"/>
  <c r="M54" i="37"/>
  <c r="J54" i="37"/>
  <c r="G54" i="37"/>
  <c r="I35" i="42"/>
  <c r="J35" i="42" s="1"/>
  <c r="L36" i="31"/>
  <c r="H36" i="42"/>
  <c r="F56" i="37"/>
  <c r="G36" i="42"/>
  <c r="F33" i="37"/>
  <c r="J37" i="31"/>
  <c r="K37" i="31" s="1"/>
  <c r="D55" i="37"/>
  <c r="J36" i="49"/>
  <c r="K36" i="49" s="1"/>
  <c r="F36" i="49"/>
  <c r="G36" i="49" s="1"/>
  <c r="H36" i="49" s="1"/>
  <c r="I37" i="49"/>
  <c r="C40" i="31"/>
  <c r="D40" i="31" s="1"/>
  <c r="D38" i="49"/>
  <c r="E38" i="49" s="1"/>
  <c r="K31" i="37"/>
  <c r="M31" i="37" s="1"/>
  <c r="N31" i="37" s="1"/>
  <c r="H31" i="37"/>
  <c r="J31" i="37" s="1"/>
  <c r="O31" i="37" s="1"/>
  <c r="C34" i="1"/>
  <c r="D34" i="1" s="1"/>
  <c r="C33" i="37" s="1"/>
  <c r="E33" i="1"/>
  <c r="F33" i="1" s="1"/>
  <c r="R51" i="37"/>
  <c r="E37" i="42"/>
  <c r="F37" i="42"/>
  <c r="I38" i="31"/>
  <c r="G38" i="31"/>
  <c r="H38" i="31" s="1"/>
  <c r="E34" i="29"/>
  <c r="C36" i="29"/>
  <c r="D35" i="29"/>
  <c r="I36" i="1" s="1"/>
  <c r="J36" i="1" s="1"/>
  <c r="E39" i="31"/>
  <c r="I53" i="37"/>
  <c r="O53" i="37"/>
  <c r="P53" i="37" s="1"/>
  <c r="L53" i="37"/>
  <c r="C57" i="37"/>
  <c r="O35" i="1"/>
  <c r="P34" i="1"/>
  <c r="Q34" i="1" s="1"/>
  <c r="R34" i="1" s="1"/>
  <c r="K34" i="1"/>
  <c r="L34" i="1" s="1"/>
  <c r="Q53" i="37" l="1"/>
  <c r="G33" i="37"/>
  <c r="F39" i="31"/>
  <c r="G39" i="31" s="1"/>
  <c r="H39" i="31" s="1"/>
  <c r="D34" i="37"/>
  <c r="M55" i="37"/>
  <c r="J55" i="37"/>
  <c r="G55" i="37"/>
  <c r="I36" i="42"/>
  <c r="J36" i="42" s="1"/>
  <c r="L37" i="31"/>
  <c r="L36" i="49"/>
  <c r="G37" i="42"/>
  <c r="F34" i="37"/>
  <c r="H37" i="42"/>
  <c r="F57" i="37"/>
  <c r="J38" i="31"/>
  <c r="K38" i="31" s="1"/>
  <c r="D56" i="37"/>
  <c r="J37" i="49"/>
  <c r="K37" i="49" s="1"/>
  <c r="F37" i="49"/>
  <c r="G37" i="49" s="1"/>
  <c r="H37" i="49" s="1"/>
  <c r="I38" i="49"/>
  <c r="E34" i="1"/>
  <c r="F34" i="1" s="1"/>
  <c r="C35" i="1"/>
  <c r="D35" i="1" s="1"/>
  <c r="P31" i="37"/>
  <c r="R52" i="37"/>
  <c r="F38" i="42"/>
  <c r="E38" i="42"/>
  <c r="I39" i="31"/>
  <c r="I54" i="37"/>
  <c r="L54" i="37"/>
  <c r="O54" i="37"/>
  <c r="P54" i="37" s="1"/>
  <c r="C58" i="37"/>
  <c r="O36" i="1"/>
  <c r="E40" i="31"/>
  <c r="D36" i="29"/>
  <c r="E36" i="29" s="1"/>
  <c r="C37" i="29"/>
  <c r="P35" i="1"/>
  <c r="Q35" i="1" s="1"/>
  <c r="R35" i="1" s="1"/>
  <c r="K35" i="1"/>
  <c r="L35" i="1" s="1"/>
  <c r="E35" i="29"/>
  <c r="Q54" i="37" l="1"/>
  <c r="L37" i="49"/>
  <c r="F40" i="31"/>
  <c r="D35" i="37"/>
  <c r="J56" i="37"/>
  <c r="G56" i="37"/>
  <c r="M56" i="37"/>
  <c r="I37" i="42"/>
  <c r="J37" i="42" s="1"/>
  <c r="L38" i="31"/>
  <c r="E35" i="1"/>
  <c r="F35" i="1" s="1"/>
  <c r="C34" i="37"/>
  <c r="G34" i="37" s="1"/>
  <c r="G38" i="42"/>
  <c r="F35" i="37"/>
  <c r="H38" i="42"/>
  <c r="F58" i="37"/>
  <c r="J38" i="49"/>
  <c r="K38" i="49" s="1"/>
  <c r="J39" i="31"/>
  <c r="K39" i="31" s="1"/>
  <c r="D57" i="37"/>
  <c r="F38" i="49"/>
  <c r="G38" i="49" s="1"/>
  <c r="H38" i="49" s="1"/>
  <c r="C36" i="1"/>
  <c r="D36" i="1" s="1"/>
  <c r="K33" i="37"/>
  <c r="M33" i="37" s="1"/>
  <c r="N33" i="37" s="1"/>
  <c r="H33" i="37"/>
  <c r="J33" i="37" s="1"/>
  <c r="O33" i="37" s="1"/>
  <c r="R53" i="37"/>
  <c r="I40" i="31"/>
  <c r="G40" i="31"/>
  <c r="P36" i="1"/>
  <c r="Q36" i="1" s="1"/>
  <c r="R36" i="1" s="1"/>
  <c r="R37" i="1" s="1"/>
  <c r="K36" i="1"/>
  <c r="L36" i="1" s="1"/>
  <c r="L37" i="1" s="1"/>
  <c r="C38" i="29"/>
  <c r="D37" i="29"/>
  <c r="E37" i="29" s="1"/>
  <c r="G57" i="37" l="1"/>
  <c r="J57" i="37"/>
  <c r="M57" i="37"/>
  <c r="I38" i="42"/>
  <c r="I39" i="42" s="1"/>
  <c r="L39" i="31"/>
  <c r="E36" i="1"/>
  <c r="F36" i="1" s="1"/>
  <c r="C35" i="37"/>
  <c r="G35" i="37" s="1"/>
  <c r="K35" i="37" s="1"/>
  <c r="J40" i="31"/>
  <c r="K40" i="31" s="1"/>
  <c r="K42" i="31" s="1"/>
  <c r="D58" i="37"/>
  <c r="L38" i="49"/>
  <c r="P33" i="37"/>
  <c r="K34" i="37"/>
  <c r="M34" i="37" s="1"/>
  <c r="N34" i="37" s="1"/>
  <c r="H34" i="37"/>
  <c r="J34" i="37" s="1"/>
  <c r="O34" i="37" s="1"/>
  <c r="C27" i="21"/>
  <c r="E37" i="47"/>
  <c r="R54" i="37"/>
  <c r="C16" i="21"/>
  <c r="G11" i="38" s="1"/>
  <c r="K37" i="1"/>
  <c r="H40" i="31"/>
  <c r="H42" i="31" s="1"/>
  <c r="C17" i="21"/>
  <c r="G12" i="38" s="1"/>
  <c r="Q37" i="1"/>
  <c r="C39" i="29"/>
  <c r="D38" i="29"/>
  <c r="E38" i="29" s="1"/>
  <c r="L56" i="37"/>
  <c r="I56" i="37"/>
  <c r="O56" i="37"/>
  <c r="P56" i="37" s="1"/>
  <c r="E37" i="1" l="1"/>
  <c r="Q56" i="37"/>
  <c r="J38" i="42"/>
  <c r="J39" i="42" s="1"/>
  <c r="C18" i="21" s="1"/>
  <c r="G13" i="38" s="1"/>
  <c r="J58" i="37"/>
  <c r="G58" i="37"/>
  <c r="M58" i="37"/>
  <c r="M59" i="37" s="1"/>
  <c r="M35" i="37"/>
  <c r="N35" i="37" s="1"/>
  <c r="F37" i="1"/>
  <c r="C15" i="21" s="1"/>
  <c r="G10" i="38" s="1"/>
  <c r="C28" i="21"/>
  <c r="G22" i="38"/>
  <c r="H35" i="37"/>
  <c r="J35" i="37" s="1"/>
  <c r="O35" i="37" s="1"/>
  <c r="L40" i="31"/>
  <c r="L42" i="31" s="1"/>
  <c r="P34" i="37"/>
  <c r="C40" i="29"/>
  <c r="D39" i="29"/>
  <c r="E39" i="29" s="1"/>
  <c r="I57" i="37"/>
  <c r="L57" i="37"/>
  <c r="O57" i="37"/>
  <c r="P57" i="37" s="1"/>
  <c r="Q57" i="37" l="1"/>
  <c r="P35" i="37"/>
  <c r="C19" i="21"/>
  <c r="R56" i="37"/>
  <c r="L58" i="37"/>
  <c r="I58" i="37"/>
  <c r="O58" i="37"/>
  <c r="P58" i="37" s="1"/>
  <c r="C41" i="29"/>
  <c r="D40" i="29"/>
  <c r="E40" i="29" s="1"/>
  <c r="Q58" i="37" l="1"/>
  <c r="G14" i="38"/>
  <c r="R57" i="37"/>
  <c r="D41" i="29"/>
  <c r="E41" i="29" s="1"/>
  <c r="C42" i="29"/>
  <c r="R58" i="37" l="1"/>
  <c r="C43" i="29"/>
  <c r="D42" i="29"/>
  <c r="E42" i="29" s="1"/>
  <c r="C44" i="29" l="1"/>
  <c r="D43" i="29"/>
  <c r="E43" i="29" s="1"/>
  <c r="C45" i="29" l="1"/>
  <c r="D44" i="29"/>
  <c r="E44" i="29" s="1"/>
  <c r="C46" i="29" l="1"/>
  <c r="D45" i="29"/>
  <c r="E45" i="29" s="1"/>
  <c r="D46" i="29" l="1"/>
  <c r="E46" i="29" s="1"/>
  <c r="C47" i="29"/>
  <c r="C48" i="29" l="1"/>
  <c r="D35" i="49" s="1"/>
  <c r="E35" i="49" s="1"/>
  <c r="G32" i="37" s="1"/>
  <c r="D47" i="29"/>
  <c r="E47" i="29" s="1"/>
  <c r="H32" i="37" l="1"/>
  <c r="J32" i="37" s="1"/>
  <c r="O32" i="37" s="1"/>
  <c r="K32" i="37"/>
  <c r="K36" i="37" s="1"/>
  <c r="I35" i="49"/>
  <c r="D48" i="29"/>
  <c r="E48" i="29" s="1"/>
  <c r="M32" i="37" l="1"/>
  <c r="N32" i="37" s="1"/>
  <c r="P32" i="37" s="1"/>
  <c r="O36" i="37" s="1"/>
  <c r="J35" i="49"/>
  <c r="K35" i="49" s="1"/>
  <c r="K40" i="49" s="1"/>
  <c r="F35" i="49"/>
  <c r="G35" i="49" s="1"/>
  <c r="H35" i="49" s="1"/>
  <c r="H40" i="49" s="1"/>
  <c r="L55" i="37" l="1"/>
  <c r="I55" i="37"/>
  <c r="L35" i="49"/>
  <c r="Q55" i="37" l="1"/>
  <c r="O55" i="37"/>
  <c r="P55" i="37" s="1"/>
  <c r="L40" i="49"/>
  <c r="R55" i="37" l="1"/>
  <c r="C22" i="21"/>
  <c r="H8" i="41"/>
  <c r="F8" i="41"/>
  <c r="E24" i="41"/>
  <c r="R59" i="37" l="1"/>
  <c r="C24" i="21" s="1"/>
  <c r="G24" i="41"/>
  <c r="H24" i="41" s="1"/>
  <c r="C14" i="12" s="1"/>
  <c r="D14" i="12" s="1"/>
  <c r="C13" i="21"/>
  <c r="G15" i="38"/>
  <c r="E25" i="41"/>
  <c r="E26" i="41"/>
  <c r="G19" i="38" l="1"/>
  <c r="C25" i="21"/>
  <c r="G23" i="41"/>
  <c r="E27" i="41"/>
  <c r="G26" i="41"/>
  <c r="H26" i="41" s="1"/>
  <c r="C16" i="12" s="1"/>
  <c r="G25" i="41"/>
  <c r="H25" i="41" s="1"/>
  <c r="C15" i="12" s="1"/>
  <c r="D15" i="12" s="1"/>
  <c r="G5" i="38"/>
  <c r="G27" i="41" l="1"/>
  <c r="H23" i="41"/>
  <c r="C13" i="12" l="1"/>
  <c r="H27" i="41"/>
  <c r="C18" i="13" s="1"/>
  <c r="E18" i="13" s="1"/>
  <c r="F18" i="13" s="1"/>
  <c r="F20" i="13" s="1"/>
  <c r="D16" i="12" l="1"/>
  <c r="D13" i="12"/>
  <c r="C34" i="21"/>
  <c r="C35" i="21" s="1"/>
  <c r="C36" i="21" s="1"/>
  <c r="E20" i="13"/>
  <c r="D33" i="12" l="1"/>
  <c r="C6" i="21" s="1"/>
  <c r="C7" i="21" s="1"/>
  <c r="C38" i="21" s="1"/>
  <c r="C33" i="12"/>
  <c r="G29" i="38"/>
  <c r="C39" i="21" l="1"/>
</calcChain>
</file>

<file path=xl/sharedStrings.xml><?xml version="1.0" encoding="utf-8"?>
<sst xmlns="http://schemas.openxmlformats.org/spreadsheetml/2006/main" count="6324" uniqueCount="863">
  <si>
    <t>Input</t>
  </si>
  <si>
    <t xml:space="preserve">Value </t>
  </si>
  <si>
    <t xml:space="preserve">Source </t>
  </si>
  <si>
    <t>General</t>
  </si>
  <si>
    <t xml:space="preserve">Discount Rate </t>
  </si>
  <si>
    <t xml:space="preserve">January 2023 BCA Guidance for Discretionary Grant Programs </t>
  </si>
  <si>
    <t>SCC Discount Rate - CO2</t>
  </si>
  <si>
    <t>Deflator</t>
  </si>
  <si>
    <t xml:space="preserve">See "Deflator" Sheet </t>
  </si>
  <si>
    <t>https://www.whitehouse.gov/wp-content/uploads/2022/03/hist10z1_fy2023.xlsx</t>
  </si>
  <si>
    <t xml:space="preserve">Begin Construction year </t>
  </si>
  <si>
    <t>NCDOT</t>
  </si>
  <si>
    <t xml:space="preserve">Complete Construction year </t>
  </si>
  <si>
    <t>Analysis Period</t>
  </si>
  <si>
    <t>Dollar Year</t>
  </si>
  <si>
    <t>Discount year</t>
  </si>
  <si>
    <t>Benefit Year</t>
  </si>
  <si>
    <t>Traffic Data Assumptions</t>
  </si>
  <si>
    <t>Percentage of Trucks</t>
  </si>
  <si>
    <t xml:space="preserve"> TSG Engineers; STIP Project No. A-0009C - Passing and Climbing Lane Documentation</t>
  </si>
  <si>
    <t>Annualization Factor</t>
  </si>
  <si>
    <t>Assumption</t>
  </si>
  <si>
    <t>Annualization Factor for paratransit (demand response)</t>
  </si>
  <si>
    <t>Graham County Transit</t>
  </si>
  <si>
    <t>Annual Growth Rate (CAGR)</t>
  </si>
  <si>
    <t>Average Corridor Travel Time without Project (hr)</t>
  </si>
  <si>
    <t>Average Corridor Travel Time with Project (hr)</t>
  </si>
  <si>
    <t>Average Corridor Travel Time Savings (hr per veh)</t>
  </si>
  <si>
    <t>US 74 closure per vehicle per instance (hours)</t>
  </si>
  <si>
    <t>TIMS Data</t>
  </si>
  <si>
    <t>US 74 Maintenance detour (hours)</t>
  </si>
  <si>
    <t>Google Maps</t>
  </si>
  <si>
    <t>Net Maintenance time savings (hours) per vehicle</t>
  </si>
  <si>
    <t>assumption</t>
  </si>
  <si>
    <t xml:space="preserve">US 74 closure or detours per year </t>
  </si>
  <si>
    <t>NC 143 Maintenance detour (annual frequency)</t>
  </si>
  <si>
    <t>Graham County NC 143, 5-yr Maint. Costs, NCDOT</t>
  </si>
  <si>
    <t>Average Passenger Vehicle Occupancy, all travel</t>
  </si>
  <si>
    <t>Delay savings with coordinated signals (per trip)</t>
  </si>
  <si>
    <t>Source: https://connect.ncdot.gov/resources/safety/Teppl/TEPPL%20All%20Documents%20Library/Signal%20System%20Timing%20Philosophy%20Manual.pdf</t>
  </si>
  <si>
    <t xml:space="preserve">State of Good Repair </t>
  </si>
  <si>
    <t>Highway and Streets Service Life</t>
  </si>
  <si>
    <t>BEA Rate of Depreciation, Service Lives, Declining-Balance Rates, and Hulten-Wykoff Categories</t>
  </si>
  <si>
    <t>Economic Competitiveness</t>
  </si>
  <si>
    <t>Vehicle Maintenance Cost per Mile (Gas, Maintenance, Tires, Depreciation) (2021$/Mile) -- Light Duty Vehicles</t>
  </si>
  <si>
    <t>Value of Time (2021$), all purposes</t>
  </si>
  <si>
    <t>Value of Time, (2021$), truck driver per hour</t>
  </si>
  <si>
    <t>Truck operating costs per hour (2021$)</t>
  </si>
  <si>
    <t>Table 9 ATRI Operational Cost of Trucking 2022. Includes fuel, truck/trailer lease, repair, maintenance, driver benefits, tires, and insurance. Excludes driver time (valued in travel time savings); https://truckingresearch.org/wp-content/uploads/2022/08/ATRI-Operational-Cost-of-Trucking-2022.pdf</t>
  </si>
  <si>
    <t>Value of Time (2021$), bus driver</t>
  </si>
  <si>
    <t>Average paratransit bus passengers per month</t>
  </si>
  <si>
    <t>Graham County Transit Director (email dated 1/23/23)</t>
  </si>
  <si>
    <t>Average Annual paratransit bus passengers</t>
  </si>
  <si>
    <t> Calculation</t>
  </si>
  <si>
    <t>Average Trip Counts by month (NCDOT)</t>
  </si>
  <si>
    <t>Safety</t>
  </si>
  <si>
    <t>PDO Damage values (2021$)</t>
  </si>
  <si>
    <t>O – No Injury (2021$)</t>
  </si>
  <si>
    <t>C – Possible Injury (2021$)</t>
  </si>
  <si>
    <t>B – Non-incapacitating (2021$)</t>
  </si>
  <si>
    <t>A – Incapacitating (2021$)</t>
  </si>
  <si>
    <t>K – Killed (2021$)</t>
  </si>
  <si>
    <t>U – Injured (Severity Unknown)  (2021$)</t>
  </si>
  <si>
    <t># Accidents Reported (Unknown if Injured) (2021$)</t>
  </si>
  <si>
    <t>Injury crash (2021$)</t>
  </si>
  <si>
    <t>Fatal crash (2021$)</t>
  </si>
  <si>
    <t>Number of Annual Trail Trips in 2022 - Walking</t>
  </si>
  <si>
    <t>Extrapolated data from Appalachian Trail Conservancy</t>
  </si>
  <si>
    <t>Per Person per mile, pedestrian Improvement</t>
  </si>
  <si>
    <t>Mortality Reduction Benefits Induced Active Transportation - Walking (2021$)</t>
  </si>
  <si>
    <t>Mortality Reduction Benefits Induced Active Transportation - Cycling (2021$)</t>
  </si>
  <si>
    <t>Number of current parking spaces</t>
  </si>
  <si>
    <t>Number of added parking spaces</t>
  </si>
  <si>
    <t>Deer Hit near Wildlife Bridge - Year 2018 (annual)</t>
  </si>
  <si>
    <t>Environmental</t>
  </si>
  <si>
    <t xml:space="preserve">Light Vehicle Idle Emissions Rates (average 3.515,4.065) g/hr. NOx </t>
  </si>
  <si>
    <t>Idling Vehicle Emissions for Passenger Cars, Light-Duty Trucks, and Heavy-Duty Trucks Emission Facts, EPA420-F-08-025, October 2008</t>
  </si>
  <si>
    <r>
      <t>Light Vehicle Idle Emissions Rates g/hr. CO</t>
    </r>
    <r>
      <rPr>
        <vertAlign val="subscript"/>
        <sz val="10"/>
        <color theme="1"/>
        <rFont val="Calibri"/>
        <family val="2"/>
        <scheme val="minor"/>
      </rPr>
      <t>2</t>
    </r>
  </si>
  <si>
    <t xml:space="preserve">Greenhouse Gas Emissions from a Typical Passenger Vehicle, EPA </t>
  </si>
  <si>
    <t xml:space="preserve">Heavy Duty (Class VII) Idle Emissions Rates g/hr. NOx </t>
  </si>
  <si>
    <r>
      <rPr>
        <sz val="10"/>
        <color rgb="FF000000"/>
        <rFont val="Calibri"/>
        <family val="2"/>
      </rPr>
      <t>Heavy Duty (Class VII) Idle Emissions Rates g/hr. CO</t>
    </r>
    <r>
      <rPr>
        <vertAlign val="subscript"/>
        <sz val="10"/>
        <color rgb="FF000000"/>
        <rFont val="Calibri"/>
        <family val="2"/>
      </rPr>
      <t>2</t>
    </r>
  </si>
  <si>
    <t>Heavy Duty (Class VII) Idle Emissions Rates g/hr. PM2.5</t>
  </si>
  <si>
    <t>Current Status/Baseline</t>
  </si>
  <si>
    <t>Change to Baseline</t>
  </si>
  <si>
    <t>Benefit</t>
  </si>
  <si>
    <t>Affected Population</t>
  </si>
  <si>
    <t>Economic Benefit (NPV, $2021M)</t>
  </si>
  <si>
    <t xml:space="preserve">The Project is the final phase of the Appalachian Regional Commission Corridor K between Andrews, NC and Stecoah, NC. This segment serves as an alternative route to the US 74 corridor through the Nantahala Gorge. Due to the topography of the roadway, there are very limited alternative routes in the area and any major accident along the stretch will reroute to US 74. This can cause multi-hour delays. The narrow roadway also causes longer than normal clearance times for vehicles involved in accidents and emergency service vehicles. </t>
  </si>
  <si>
    <t>This corridor segment will provide an improved system of transportation for both routine travel and emergency travel in the event of a national crisis by reducing the slope of the roadway as well as widening the road for shoulder pull-offs. The proposed project will restore the good condition of infrastructure and result in travel time savings, delays and detours avoided, emissions savings, emergency response improvements, and improved recreational access.</t>
  </si>
  <si>
    <t>All corridor users</t>
  </si>
  <si>
    <t>All regional users and non-users</t>
  </si>
  <si>
    <t>Wildlife and corridor drivers</t>
  </si>
  <si>
    <t>Corridor auto users</t>
  </si>
  <si>
    <t>Corridor truck drivers</t>
  </si>
  <si>
    <t>Corridor truck operators</t>
  </si>
  <si>
    <t>Robbinsville drivers</t>
  </si>
  <si>
    <t>All corridor and US 74 users</t>
  </si>
  <si>
    <t>Local farms</t>
  </si>
  <si>
    <t>Graham County Transit users</t>
  </si>
  <si>
    <t>AT bikers and hikers</t>
  </si>
  <si>
    <t>NCDOT and NC taxpayers</t>
  </si>
  <si>
    <t>Total Project</t>
  </si>
  <si>
    <t>Analysis Period:  (20 years)</t>
  </si>
  <si>
    <t>7% Discount Rate</t>
  </si>
  <si>
    <t>Costs (2021$M)</t>
  </si>
  <si>
    <t>Capital Cost</t>
  </si>
  <si>
    <t>Total Costs</t>
  </si>
  <si>
    <t>Benefits (2021 $M)</t>
  </si>
  <si>
    <t>Safety Benefits</t>
  </si>
  <si>
    <t>Reduced Roadway Fatalities and Crashes</t>
  </si>
  <si>
    <t>Emergency Services</t>
  </si>
  <si>
    <t>Wildlife Safety</t>
  </si>
  <si>
    <t>Sub-Total</t>
  </si>
  <si>
    <t>Auto Travel Time Savings</t>
  </si>
  <si>
    <t>Truck Travel Time Savings</t>
  </si>
  <si>
    <t>Truck Operating Savings</t>
  </si>
  <si>
    <t>Signal Coordination Time Savings</t>
  </si>
  <si>
    <t>Maintenance Detour Delays Avoided</t>
  </si>
  <si>
    <t>DMS/Trailblazers Detour Delays Avoided</t>
  </si>
  <si>
    <t>Agricultural Market Accessibility Benefit</t>
  </si>
  <si>
    <t>Environmental Sustainability</t>
  </si>
  <si>
    <t>Emission Savings</t>
  </si>
  <si>
    <t>Mobility and Community Connectivity</t>
  </si>
  <si>
    <t>Paratransit Travel Time Savings</t>
  </si>
  <si>
    <t>Quality of Life</t>
  </si>
  <si>
    <t>Resident and Visitor Recreation</t>
  </si>
  <si>
    <t>State of Good Repair</t>
  </si>
  <si>
    <t>Net Operating &amp; Maintenance Cost Savings</t>
  </si>
  <si>
    <t>Residual Value</t>
  </si>
  <si>
    <t>Total Benefits</t>
  </si>
  <si>
    <t>Results</t>
  </si>
  <si>
    <t>Net Present Value (2021 $M)</t>
  </si>
  <si>
    <t>Benefit-Cost Ratio</t>
  </si>
  <si>
    <t>Delay due to Maintenance on US 143</t>
  </si>
  <si>
    <t>See 143O&amp;M tab for history of maintenance delays from NCDOT</t>
  </si>
  <si>
    <t>frequency</t>
  </si>
  <si>
    <t>Proportion of AADT Impacted</t>
  </si>
  <si>
    <t>143 Maintenance hours length (average)</t>
  </si>
  <si>
    <t>each time</t>
  </si>
  <si>
    <t>% Trucks</t>
  </si>
  <si>
    <t>Personal value of time, 2021$</t>
  </si>
  <si>
    <t>Average Auto Occupancy</t>
  </si>
  <si>
    <t>Autos</t>
  </si>
  <si>
    <t>Trucks</t>
  </si>
  <si>
    <t>Project Year</t>
  </si>
  <si>
    <t>Year</t>
  </si>
  <si>
    <t>Annual Vehicles</t>
  </si>
  <si>
    <t>Annual # of Impacted Vehicles</t>
  </si>
  <si>
    <t>VHT Avoided for Impacted Vehicles</t>
  </si>
  <si>
    <t>Auto Person VHT</t>
  </si>
  <si>
    <t>Total Value of   Auto Travel Time Savings</t>
  </si>
  <si>
    <t>Discounted Total Value of Time (Autos)</t>
  </si>
  <si>
    <t>Truck VHT</t>
  </si>
  <si>
    <t>Total Value of Truck Travel and Operating Time Savings</t>
  </si>
  <si>
    <t>Discounted Total Value of Truck Time</t>
  </si>
  <si>
    <t>Total Discounted Time Savings</t>
  </si>
  <si>
    <t>Task #</t>
  </si>
  <si>
    <t>Administrative Unit</t>
  </si>
  <si>
    <t>Start Date</t>
  </si>
  <si>
    <t>Finish Date</t>
  </si>
  <si>
    <t>External WBS#</t>
  </si>
  <si>
    <t>Work Function</t>
  </si>
  <si>
    <t>Inventory Element</t>
  </si>
  <si>
    <t>NCDOT SYSTEM NAME</t>
  </si>
  <si>
    <t>Route/County</t>
  </si>
  <si>
    <t>Lane Direction</t>
  </si>
  <si>
    <t>Lane</t>
  </si>
  <si>
    <t>Offset</t>
  </si>
  <si>
    <t>From MP</t>
  </si>
  <si>
    <t>To MP</t>
  </si>
  <si>
    <t>Asset Type</t>
  </si>
  <si>
    <t>WORK ACCOMP</t>
  </si>
  <si>
    <t>Labor Cost ($)</t>
  </si>
  <si>
    <t>Equipment Cost ($)</t>
  </si>
  <si>
    <t>Material Cost ($)</t>
  </si>
  <si>
    <t>Other Cost</t>
  </si>
  <si>
    <t>Total</t>
  </si>
  <si>
    <t>14 /3 Graham Mnt</t>
  </si>
  <si>
    <t>1.1008SM</t>
  </si>
  <si>
    <t>2021-ODA (Outdoor Advertising) Program</t>
  </si>
  <si>
    <t>038 NC143 0.00-28.17 *</t>
  </si>
  <si>
    <t>Primary Paved</t>
  </si>
  <si>
    <t>30000143038</t>
  </si>
  <si>
    <t>All</t>
  </si>
  <si>
    <t>Sections</t>
  </si>
  <si>
    <t>14 Traffic Serv</t>
  </si>
  <si>
    <t>14.103812</t>
  </si>
  <si>
    <t>3252-Maintenance of Ground Mounted Signs</t>
  </si>
  <si>
    <t>038 NC143 29.63-38.46 *</t>
  </si>
  <si>
    <t>14 Bitum Ops</t>
  </si>
  <si>
    <t>14.103811</t>
  </si>
  <si>
    <t>2822-Maintenance of Cracks and Joints in Pavement</t>
  </si>
  <si>
    <t>3250-Installation of Ground Mounted Signs</t>
  </si>
  <si>
    <t>038 NC143BUS 0.00-3.43 *</t>
  </si>
  <si>
    <t>39000143038</t>
  </si>
  <si>
    <t>14.203811</t>
  </si>
  <si>
    <t>3111-Minor Shoulder and Drainage Ditch Maintenance</t>
  </si>
  <si>
    <t>Secondary Paved</t>
  </si>
  <si>
    <t>3132-Sweep / Wash Roadway</t>
  </si>
  <si>
    <t>2815-Pothole Patching</t>
  </si>
  <si>
    <t>14.103820</t>
  </si>
  <si>
    <t>3120C-Install / Repair / Maintain Barriers</t>
  </si>
  <si>
    <t>3128-Maint / Repair Pipes (48” or less)</t>
  </si>
  <si>
    <t>2912-Mechanical Brush and Tree Control</t>
  </si>
  <si>
    <t>3130-Install / Repair of Misc. Drainage Structures</t>
  </si>
  <si>
    <t>DF17614.2038004</t>
  </si>
  <si>
    <t>Secondary</t>
  </si>
  <si>
    <t>038 NC143 29.64-38.48 *</t>
  </si>
  <si>
    <t>2818-Full/Partial Depth Asphalt Pavement Repair</t>
  </si>
  <si>
    <t>3109-Maintenance of Shoulders AND Ditches</t>
  </si>
  <si>
    <t>3115-Slope Repair</t>
  </si>
  <si>
    <t>2817-Mechanical Asphalt Patching</t>
  </si>
  <si>
    <t>14 Roadside Env</t>
  </si>
  <si>
    <t>14RE.103815</t>
  </si>
  <si>
    <t>2912C-Mechanical Brush and Tree Control</t>
  </si>
  <si>
    <t>038 NC143BUS 0.00-3.44 *</t>
  </si>
  <si>
    <t>3222-Long Line Painted Pavement Markings</t>
  </si>
  <si>
    <t>14 Div Adm</t>
  </si>
  <si>
    <t>3126-Install Pipes (48” or Less)</t>
  </si>
  <si>
    <t>3108C-Drainage Ditch Maintenance</t>
  </si>
  <si>
    <t>14.103819.2</t>
  </si>
  <si>
    <t>3127-Install Driveway Pipes</t>
  </si>
  <si>
    <t>44554.3.1</t>
  </si>
  <si>
    <t>2911-Manual Brush and Tree Control</t>
  </si>
  <si>
    <t>2016CPT.14.07.10382.3</t>
  </si>
  <si>
    <t>14.203812</t>
  </si>
  <si>
    <t>3138-Machining Unpaved Road</t>
  </si>
  <si>
    <t>36249.3478</t>
  </si>
  <si>
    <t>Non System</t>
  </si>
  <si>
    <t>2909-Manual Brush and Tree Control</t>
  </si>
  <si>
    <t>2914-Vegetation Management at Stationary Objects</t>
  </si>
  <si>
    <t>2816-Asphalt Pavement Repair / Patching</t>
  </si>
  <si>
    <t>44157.3.1</t>
  </si>
  <si>
    <t>038 NC143 0.00-28.21 *</t>
  </si>
  <si>
    <t>3230-Words and Symbols - Specialty Materials</t>
  </si>
  <si>
    <t>13914.1038010</t>
  </si>
  <si>
    <t>038 NC143 29.68-38.51 *</t>
  </si>
  <si>
    <t>Primary</t>
  </si>
  <si>
    <t>43266.3.1</t>
  </si>
  <si>
    <t>038 NC143 29.68-38.52 *</t>
  </si>
  <si>
    <t>14.103813</t>
  </si>
  <si>
    <t>038 NC143 0.00-39.83 *</t>
  </si>
  <si>
    <t>038 NC143BU 0.00-3.45 *</t>
  </si>
  <si>
    <t>3102-Removal of Hazards/Debris From ROW</t>
  </si>
  <si>
    <t>3112-Shoulder Maintenance / Reconstruction</t>
  </si>
  <si>
    <t>3108-Drainage Ditch Maintenance</t>
  </si>
  <si>
    <t>2916-Roadside Vegetation Enhancement</t>
  </si>
  <si>
    <t>3104-Litter Removal</t>
  </si>
  <si>
    <t>2918-Seeding and Mulching and Fertilization</t>
  </si>
  <si>
    <t>3134-Roadway Grading</t>
  </si>
  <si>
    <t>038 NC143BUS 0.00-3.45 *</t>
  </si>
  <si>
    <t>038 NC143 0.00-39.81 *</t>
  </si>
  <si>
    <t>2802-Double Seal</t>
  </si>
  <si>
    <t>2714-Assessments and Inspections</t>
  </si>
  <si>
    <t>4055-SIGN INSTALLATION</t>
  </si>
  <si>
    <t>3773-MNTC OF HIGH &amp; LOW SHLDR</t>
  </si>
  <si>
    <t>4031-SIGN MAINT ACC/VANDALISM</t>
  </si>
  <si>
    <t>3766-BAGGED LITTER PICKUP</t>
  </si>
  <si>
    <t>36247.14.3</t>
  </si>
  <si>
    <t>4151-FLASHER PREV MAINT</t>
  </si>
  <si>
    <t>All (Any DOH Rd Syst)</t>
  </si>
  <si>
    <t>3631-MAT &amp; SEAL CONVENTIONAL</t>
  </si>
  <si>
    <t>4101-LONGLINES PAINTED</t>
  </si>
  <si>
    <t>3756-MACHINE CLEARING OF R-O-W</t>
  </si>
  <si>
    <t>4314-HERBICIDE USE - GUARDRAILS</t>
  </si>
  <si>
    <t>3871-MISC DRAINAGE STRUCTURES</t>
  </si>
  <si>
    <t>4311-HERB USE - ON PAVEMENT</t>
  </si>
  <si>
    <t>3762-CLEAR DEBRIS FROM RDWY</t>
  </si>
  <si>
    <t>4331-PLANTING &amp; PLANT MAINT</t>
  </si>
  <si>
    <t>3774-MINOR MNTC OF DITCHES</t>
  </si>
  <si>
    <t>4032-SIGN MAINT REPLACEMENT</t>
  </si>
  <si>
    <t>40537</t>
  </si>
  <si>
    <t>4146-FLASHER UPGRADING</t>
  </si>
  <si>
    <t>3851-INST OF DRIVE PIPE RSDNTL</t>
  </si>
  <si>
    <t>4005-SIGN MAINT GENERAL</t>
  </si>
  <si>
    <t>4001-NIGHTTIME TRAF CNTRL INSP</t>
  </si>
  <si>
    <t>4106-MISC MARKINGS - PLASTIC</t>
  </si>
  <si>
    <t>4325-SEEDING AND MULCHING</t>
  </si>
  <si>
    <t>038 NC143 0.00-29.48 *</t>
  </si>
  <si>
    <t>3711-MANUAL PATCHING</t>
  </si>
  <si>
    <t>4142-TRAFF SIGNAL EMERG MAINT</t>
  </si>
  <si>
    <t>4125-DELINEATORS INST &amp; MAINT</t>
  </si>
  <si>
    <t>038 NC143 31.09-39.81 *</t>
  </si>
  <si>
    <t>038 NC143 30.95-31.09 *</t>
  </si>
  <si>
    <t>14.3038171</t>
  </si>
  <si>
    <t>3855-INSTLN OF PIPE CULVERTS</t>
  </si>
  <si>
    <t>Urban</t>
  </si>
  <si>
    <t>14.3038173</t>
  </si>
  <si>
    <t>038 NC143BU 2.50-3.45 *</t>
  </si>
  <si>
    <t>3781-REPAIR OF SLOPES</t>
  </si>
  <si>
    <t>14 Bri Marble</t>
  </si>
  <si>
    <t>14B.3038171</t>
  </si>
  <si>
    <t>4511-MAINT OF CONC BRIDGE FLR</t>
  </si>
  <si>
    <t>Urban Bridge</t>
  </si>
  <si>
    <t>3765-LITTER PICKUP</t>
  </si>
  <si>
    <t>14M.202012</t>
  </si>
  <si>
    <t>14M.103812</t>
  </si>
  <si>
    <t>14CR.10381.2</t>
  </si>
  <si>
    <t>3715-FULL DEPTH PATCH HOT MIX</t>
  </si>
  <si>
    <t>3718-MNTC OF CRCKS IN ASP PAVT</t>
  </si>
  <si>
    <t>14M.103811</t>
  </si>
  <si>
    <t>3755-MANUAL CLEARING OF R-O-W</t>
  </si>
  <si>
    <t>36050.038</t>
  </si>
  <si>
    <t>3745-SNOW AND ICE CONTROL</t>
  </si>
  <si>
    <t>3861-MNTC OF PIPE CULVERTS</t>
  </si>
  <si>
    <t>3761-REMOVAL OF HAZARDS</t>
  </si>
  <si>
    <t>14.103817</t>
  </si>
  <si>
    <t>3714-AST PATCHING</t>
  </si>
  <si>
    <t>038 NC143BU 0.00-2.50 *</t>
  </si>
  <si>
    <t>4310-HERB USE - SIGN POSTS</t>
  </si>
  <si>
    <t>3020-FORCE ACCT - OFC OPS</t>
  </si>
  <si>
    <t>14.103815</t>
  </si>
  <si>
    <t>2620-INSPECTION</t>
  </si>
  <si>
    <t>3010-SUPERVISION</t>
  </si>
  <si>
    <t>14.1038</t>
  </si>
  <si>
    <t>3716-FULL DEPTH PATCH AST</t>
  </si>
  <si>
    <t>3605-CLEARING AND GRUBBING</t>
  </si>
  <si>
    <t>Assuming these are part of the annual O&amp;M</t>
  </si>
  <si>
    <t>Hours</t>
  </si>
  <si>
    <t>Incidents</t>
  </si>
  <si>
    <t>Hours per Incident</t>
  </si>
  <si>
    <t>Source: NCDOT TIMS database</t>
  </si>
  <si>
    <t>Average without outliers</t>
  </si>
  <si>
    <t>Average without outliers divided by 2 to be conservative</t>
  </si>
  <si>
    <t>Traffic Incident Management Data</t>
  </si>
  <si>
    <t>See TIMS.xlsx in the Supplemental Materials for details</t>
  </si>
  <si>
    <t>Row Labels</t>
  </si>
  <si>
    <t>Sum of Closure Hours</t>
  </si>
  <si>
    <t>Count of DateStamp</t>
  </si>
  <si>
    <t>Hours per event</t>
  </si>
  <si>
    <t>Road Closed</t>
  </si>
  <si>
    <t>Road Impassable</t>
  </si>
  <si>
    <t>Road Closed with Detour</t>
  </si>
  <si>
    <t>(blank)</t>
  </si>
  <si>
    <t>Grand Total</t>
  </si>
  <si>
    <t>**less the outlier in 2021</t>
  </si>
  <si>
    <t>Hours Closed per Year</t>
  </si>
  <si>
    <t>Further refining dates/events and outliers:</t>
  </si>
  <si>
    <t>Closures per year</t>
  </si>
  <si>
    <t>Average hours of closure incident</t>
  </si>
  <si>
    <t>**excludes 2023 due to partial year data</t>
  </si>
  <si>
    <t>Paratransit users and vehicle drivers would experience travel time savings as a result of the NC 28/NC 143/US 129 Improvements (climbing lanes)</t>
  </si>
  <si>
    <t>Annual Trip Count</t>
  </si>
  <si>
    <t>Annual Passenger Travel Time Savings (hours)</t>
  </si>
  <si>
    <t>Annual Driver Travel Time Savings (hours)</t>
  </si>
  <si>
    <t>Value of Time for Passengers</t>
  </si>
  <si>
    <t>Value of Time Bus Driver</t>
  </si>
  <si>
    <t>Total Value of Travel Time (2021$)</t>
  </si>
  <si>
    <t>Travel Time Savings (Discounted at 7%)</t>
  </si>
  <si>
    <t>TOTAL</t>
  </si>
  <si>
    <t>Travel Time Savings</t>
  </si>
  <si>
    <t>Auto and Truck users would experience travel time savings as a result of the NC 28/NC 143/US 129 Improvements (climbing lanes)</t>
  </si>
  <si>
    <t>Auto Time Savings</t>
  </si>
  <si>
    <t>Truck Driver Time Savings</t>
  </si>
  <si>
    <t>Truck Operating Cost Savings</t>
  </si>
  <si>
    <t>Auto AADT</t>
  </si>
  <si>
    <t>Annual Person Travel Time Savings (hours)</t>
  </si>
  <si>
    <t>Total Value of Auto Travel Time Savings</t>
  </si>
  <si>
    <t>Annual Truck Traffic</t>
  </si>
  <si>
    <t>Total Value of Truck Travel Time Savings</t>
  </si>
  <si>
    <t>Annual Truck Operating Time Savings (hours)</t>
  </si>
  <si>
    <t>Total Value of Truck Operating Time Savings</t>
  </si>
  <si>
    <t>Truck Operating Cost Savings (Discounted at 7%)</t>
  </si>
  <si>
    <t>Traffic Data</t>
  </si>
  <si>
    <t>AADT</t>
  </si>
  <si>
    <t>Source: NCDOT AADT Segments</t>
  </si>
  <si>
    <t>https://ncdot.maps.arcgis.com/apps/webappviewer/index.html?id=964881960f0549de8c3583bf46ef5ed4</t>
  </si>
  <si>
    <t>CAGR</t>
  </si>
  <si>
    <t>Corridor AADT</t>
  </si>
  <si>
    <t>Cars</t>
  </si>
  <si>
    <t>Robbinsville AADT</t>
  </si>
  <si>
    <t>US 74 AADT</t>
  </si>
  <si>
    <t>conservatively held constant after 2045</t>
  </si>
  <si>
    <t>Source: NCDOT Traffic Volume Maps</t>
  </si>
  <si>
    <t>I74 Traffic Points</t>
  </si>
  <si>
    <t>Safety Analysis</t>
  </si>
  <si>
    <t>The Project will add shoulders, climbing lanes, widen shoulders, and modernize the corridor</t>
  </si>
  <si>
    <t>KABCO Level</t>
  </si>
  <si>
    <t>2021$</t>
  </si>
  <si>
    <t>CMFs</t>
  </si>
  <si>
    <t>Source: NCDOT (See CMFs Tab)</t>
  </si>
  <si>
    <t>Source Year</t>
  </si>
  <si>
    <t>passing lanes</t>
  </si>
  <si>
    <t>Discount Year</t>
  </si>
  <si>
    <t>shoulder widening</t>
  </si>
  <si>
    <t>Discount Rate</t>
  </si>
  <si>
    <t>O – No Injury</t>
  </si>
  <si>
    <t>Cumulative Damage Reduction</t>
  </si>
  <si>
    <t>C – Possible Injury</t>
  </si>
  <si>
    <t>B – Non-incapacitating</t>
  </si>
  <si>
    <t>A – Incapacitating</t>
  </si>
  <si>
    <t>K – Killed</t>
  </si>
  <si>
    <t>Crash Analysis for A-0009</t>
  </si>
  <si>
    <t>U – Injured (Severity Unknown)</t>
  </si>
  <si>
    <t>Crash Data from 11/1/2017 to 10/31/2022</t>
  </si>
  <si>
    <t># Accidents Reported (Unknown if Injured)</t>
  </si>
  <si>
    <t>Annual Averages</t>
  </si>
  <si>
    <t>Crashes Saved</t>
  </si>
  <si>
    <t>County Name</t>
  </si>
  <si>
    <t>County Num</t>
  </si>
  <si>
    <t>Route</t>
  </si>
  <si>
    <t>Study Milepost Range</t>
  </si>
  <si>
    <t>Fatal (K) Crashes</t>
  </si>
  <si>
    <t>Serious (A) Crashes</t>
  </si>
  <si>
    <t>Evident (B) Crashes</t>
  </si>
  <si>
    <t>Possible (C) Crashes</t>
  </si>
  <si>
    <t xml:space="preserve">Property Damage (O) Crashes </t>
  </si>
  <si>
    <t>Unknown Inj (U) Crashes</t>
  </si>
  <si>
    <t>Total Crashes</t>
  </si>
  <si>
    <t>Annual Total Crashes</t>
  </si>
  <si>
    <t>Annual Total Crashes Saved</t>
  </si>
  <si>
    <t>Graham</t>
  </si>
  <si>
    <t>NC 143</t>
  </si>
  <si>
    <t>MP 29.644 to 38.48</t>
  </si>
  <si>
    <t>NC 28</t>
  </si>
  <si>
    <t>MP 2.025 to 9.262</t>
  </si>
  <si>
    <t>US 129</t>
  </si>
  <si>
    <t>MP 6.685 to 12.399</t>
  </si>
  <si>
    <t>Source: NCDOT Traffic Safety Division</t>
  </si>
  <si>
    <t>Crashes Avoided</t>
  </si>
  <si>
    <t>K</t>
  </si>
  <si>
    <t>A</t>
  </si>
  <si>
    <t>B</t>
  </si>
  <si>
    <t>C</t>
  </si>
  <si>
    <t>O</t>
  </si>
  <si>
    <t>U</t>
  </si>
  <si>
    <t>Discounted at 7%</t>
  </si>
  <si>
    <t>Project components will have a useful life longer than the analysis period</t>
  </si>
  <si>
    <t>Type of asset</t>
  </si>
  <si>
    <t>Service life (years)</t>
  </si>
  <si>
    <t>Highways and streets</t>
  </si>
  <si>
    <t>Source: BEA Rate of Depreciation, Service Lives, Declining-Balance Rates, and Hulten-Wykoff Categories</t>
  </si>
  <si>
    <t>http://www.bea.gov/scb/account_articles/national/wlth2594/tableC.htm</t>
  </si>
  <si>
    <t>Total Residual Benefits</t>
  </si>
  <si>
    <t>2021 $</t>
  </si>
  <si>
    <t>Final Year of Analysis Period</t>
  </si>
  <si>
    <t>Share of construction that is non-labor</t>
  </si>
  <si>
    <t>Total Cost $2021</t>
  </si>
  <si>
    <t>Remaining Value</t>
  </si>
  <si>
    <t>Highways and Streets</t>
  </si>
  <si>
    <t>Right-of-Way (does not depreciate)</t>
  </si>
  <si>
    <t>N/A</t>
  </si>
  <si>
    <t>Each vehicle using the intersections in Robinsville will experience time savings due to signal coordination</t>
  </si>
  <si>
    <t>Delay (min/veh)</t>
  </si>
  <si>
    <t>Fastest</t>
  </si>
  <si>
    <t>Traffic</t>
  </si>
  <si>
    <t>Delay</t>
  </si>
  <si>
    <t>ITS Benefit</t>
  </si>
  <si>
    <t>mins</t>
  </si>
  <si>
    <t>minute</t>
  </si>
  <si>
    <t>Mins/Trip</t>
  </si>
  <si>
    <t>miles</t>
  </si>
  <si>
    <t>Minutes Saved per Auto</t>
  </si>
  <si>
    <t>Hours per vehicle saved</t>
  </si>
  <si>
    <t>Car Occupancy Rate</t>
  </si>
  <si>
    <t>Portion of traffic benefiting</t>
  </si>
  <si>
    <t>Annual Hours Saved</t>
  </si>
  <si>
    <t>Annual Auto Hrs Saved</t>
  </si>
  <si>
    <t xml:space="preserve">Truck Hrs Saved </t>
  </si>
  <si>
    <t>Auto VOT</t>
  </si>
  <si>
    <t>Truck VOT</t>
  </si>
  <si>
    <t>Total ITS Benefit</t>
  </si>
  <si>
    <t>Discounted ITS Benefit</t>
  </si>
  <si>
    <t xml:space="preserve">Construction Start </t>
  </si>
  <si>
    <t>Q4</t>
  </si>
  <si>
    <t>Construction Finish</t>
  </si>
  <si>
    <t>Total Costs (ITS + Broadband)</t>
  </si>
  <si>
    <t>Full Asset Renewal-- No Build (expected 2025)</t>
  </si>
  <si>
    <t>Operations &amp; Maintenance Costs (per year)</t>
  </si>
  <si>
    <t>O&amp;M Full Rehabilitation</t>
  </si>
  <si>
    <t>Lifecycle</t>
  </si>
  <si>
    <t>2022$</t>
  </si>
  <si>
    <t>Pavement Rehabilitation</t>
  </si>
  <si>
    <t>Existing Corridor (No-Build)</t>
  </si>
  <si>
    <t>Pipe/Headwall Replacement</t>
  </si>
  <si>
    <t>Post Construction (Build)</t>
  </si>
  <si>
    <t>Guardrail Replacement/Upgrade</t>
  </si>
  <si>
    <t>Annual Difference in O&amp;M Cost</t>
  </si>
  <si>
    <t>Bridge Replacement</t>
  </si>
  <si>
    <t>Asset Renewal --$3M in 2022$ (Build)</t>
  </si>
  <si>
    <t>No Build O&amp;M</t>
  </si>
  <si>
    <t>No Build Discounted at 7%</t>
  </si>
  <si>
    <t>Build O&amp;M</t>
  </si>
  <si>
    <t>Build Discounted at 7%</t>
  </si>
  <si>
    <t>Net O&amp;M</t>
  </si>
  <si>
    <t>2022 dollars</t>
  </si>
  <si>
    <t>20% E&amp;C included</t>
  </si>
  <si>
    <t>Section</t>
  </si>
  <si>
    <t>Previously Incurred Costs</t>
  </si>
  <si>
    <t>Preliminary Engineering</t>
  </si>
  <si>
    <t>ROW</t>
  </si>
  <si>
    <t>Utilities</t>
  </si>
  <si>
    <t>Total Construction</t>
  </si>
  <si>
    <t>ADHS Funding</t>
  </si>
  <si>
    <t>Total Grant Eligible Costs</t>
  </si>
  <si>
    <t>Funding Sources</t>
  </si>
  <si>
    <t>Notes</t>
  </si>
  <si>
    <t>Construction Start</t>
  </si>
  <si>
    <t>Construction End</t>
  </si>
  <si>
    <t>Years</t>
  </si>
  <si>
    <t>A-0009CA</t>
  </si>
  <si>
    <t>Other Federal</t>
  </si>
  <si>
    <t>Grant eligible costs were requested from NSFLTP</t>
  </si>
  <si>
    <t>A-0009CB</t>
  </si>
  <si>
    <t>A-0009CC</t>
  </si>
  <si>
    <t>A-0009CD</t>
  </si>
  <si>
    <t>RAISE</t>
  </si>
  <si>
    <t>ITS</t>
  </si>
  <si>
    <t>PE</t>
  </si>
  <si>
    <t>UTIL</t>
  </si>
  <si>
    <t>CON</t>
  </si>
  <si>
    <t>Source: NCDOT, December 2022</t>
  </si>
  <si>
    <t>1/9/23: Per Ray McIntyre, additional approx $10 million anticipated from Omnibus bill in ADHS funding</t>
  </si>
  <si>
    <t>CA</t>
  </si>
  <si>
    <t>CB</t>
  </si>
  <si>
    <t>CC</t>
  </si>
  <si>
    <t>CD</t>
  </si>
  <si>
    <t>Agricultural Access Improvement</t>
  </si>
  <si>
    <t>With the route reconstructed, farms in the region are supported and marginal transportation costs are saved; tourists can also access the farms and nearby parks more reliably.</t>
  </si>
  <si>
    <t>Small farm Fuel, Machinery, labor costs (assuming local commuting farmers)</t>
  </si>
  <si>
    <t>Transportation improvement for local travel. Source (Purdue Extension: 2022 Purdue Crop Cost &amp; Return Guide; https://ag.purdue.edu/commercialag/home/resource/2022/03/2022-crop-cost-and-return-guide/)</t>
  </si>
  <si>
    <t>Number of Farms (2017)</t>
  </si>
  <si>
    <t>Average Farm Expense (2021$)</t>
  </si>
  <si>
    <t>Farms affected</t>
  </si>
  <si>
    <t>Expenses saved</t>
  </si>
  <si>
    <t>Total Expenses by County</t>
  </si>
  <si>
    <t>Source:</t>
  </si>
  <si>
    <t>County Summary, Crop and Livestock Cash Receipts by County, https://www.nass.usda.gov/Statistics_by_State/North_Carolina/Publications/Annual_Statistical_Bulletin/AgStat/Section06.pdf</t>
  </si>
  <si>
    <t>Swain</t>
  </si>
  <si>
    <t>Cherokee</t>
  </si>
  <si>
    <t xml:space="preserve">Jackson </t>
  </si>
  <si>
    <t>Macon</t>
  </si>
  <si>
    <t>Value of Improvement</t>
  </si>
  <si>
    <t>Net Change</t>
  </si>
  <si>
    <t>Source: https://highways.dot.gov/public-roads/summer-2019/farm-table</t>
  </si>
  <si>
    <t>Source: https://www.ams.usda.gov/sites/default/files/media/Main_Highway_Report.pdf</t>
  </si>
  <si>
    <t xml:space="preserve">Total </t>
  </si>
  <si>
    <t>The Project will allow better emergency access to the nearby counties due to improved slopes, widened lanes, and added climbing lanes.</t>
  </si>
  <si>
    <t>Source: FEMA Benefit-Cost Analysis Re-Engineering (BCAR), Development of Standard Economic Values Version 6.0, December 2011</t>
  </si>
  <si>
    <t>Year 1</t>
  </si>
  <si>
    <t>Annual Emergency Vehicles</t>
  </si>
  <si>
    <t>Source: NCDOT</t>
  </si>
  <si>
    <t>Assumptions</t>
  </si>
  <si>
    <t>Population Estimate</t>
  </si>
  <si>
    <t>Applicable Share</t>
  </si>
  <si>
    <t>Share of emergency calls estimated within Project area</t>
  </si>
  <si>
    <t>Graham County</t>
  </si>
  <si>
    <t>Swain County</t>
  </si>
  <si>
    <t>Emergency trips on existing roads</t>
  </si>
  <si>
    <t>Source: Foothills RPO</t>
  </si>
  <si>
    <t>1) climbing lanes time savings</t>
  </si>
  <si>
    <t>Total population</t>
  </si>
  <si>
    <t>2) signal coordination</t>
  </si>
  <si>
    <t>population served, adjusted</t>
  </si>
  <si>
    <t>FEMA methodology: FIRE</t>
  </si>
  <si>
    <t>Source: Census 2021</t>
  </si>
  <si>
    <t>i. number of incidents</t>
  </si>
  <si>
    <t>5.5 incidents per 1,000 people</t>
  </si>
  <si>
    <t>population</t>
  </si>
  <si>
    <t>FEMA methodology: EMERGENCY</t>
  </si>
  <si>
    <t>I</t>
  </si>
  <si>
    <t>a. number of cardiac arrests</t>
  </si>
  <si>
    <t>ii. Average response time before and after</t>
  </si>
  <si>
    <t>median response time 5 minutes</t>
  </si>
  <si>
    <t>RT</t>
  </si>
  <si>
    <t>cardiac arrests/year</t>
  </si>
  <si>
    <t>Rtafter</t>
  </si>
  <si>
    <t>b. average EMS response time</t>
  </si>
  <si>
    <t>iii. Probability of no loss incident</t>
  </si>
  <si>
    <t>P0 = 0.456-0.00264RT</t>
  </si>
  <si>
    <t>P0before</t>
  </si>
  <si>
    <t>P0after</t>
  </si>
  <si>
    <t>c. probability of survival before and after</t>
  </si>
  <si>
    <t>iv. Average property dollar loss per incident</t>
  </si>
  <si>
    <t>DL = 3845+431RT</t>
  </si>
  <si>
    <t>Dlbefore</t>
  </si>
  <si>
    <t>Dlafter</t>
  </si>
  <si>
    <t>d. increase in deaths</t>
  </si>
  <si>
    <t>v. increase in property dollar loss</t>
  </si>
  <si>
    <t>PL = [(1-P0after)Dlafter - (1-P0before)Dlbefore]*I</t>
  </si>
  <si>
    <t>Dbefore</t>
  </si>
  <si>
    <t>PL</t>
  </si>
  <si>
    <t>Dafter</t>
  </si>
  <si>
    <t>vi. Add indirect losses</t>
  </si>
  <si>
    <t>totalPL = PL*1.1</t>
  </si>
  <si>
    <t>Dincrease</t>
  </si>
  <si>
    <t>totalPL</t>
  </si>
  <si>
    <t>e. value lives lost</t>
  </si>
  <si>
    <t>Vlives</t>
  </si>
  <si>
    <t>viii. Update values to 2021$ from 1993$</t>
  </si>
  <si>
    <t>ix. Total loss due to fire station shutdown</t>
  </si>
  <si>
    <t>TotalLoss = totalPL</t>
  </si>
  <si>
    <t>TotalLoss</t>
  </si>
  <si>
    <t>travel time for climbing lanes, shoulders, and signal coordination</t>
  </si>
  <si>
    <t>Fire + EMS Loss (FEMA)</t>
  </si>
  <si>
    <t xml:space="preserve">Conversion - g/metric ton </t>
  </si>
  <si>
    <t>Value of CO2/metric ton (2021$)</t>
  </si>
  <si>
    <t>SSC Discount Rate</t>
  </si>
  <si>
    <t>Light Vehicle Idle Emissions Rates g/hr. NOx</t>
  </si>
  <si>
    <t>Slope TTS Auto VHT Avoided</t>
  </si>
  <si>
    <t>Maint Delay Auto VHT Avoided</t>
  </si>
  <si>
    <t xml:space="preserve">DMS Delay Auto VHT Avoided </t>
  </si>
  <si>
    <t>Signal Coordination Auto VHT</t>
  </si>
  <si>
    <t>Total Auto VHT Avoided</t>
  </si>
  <si>
    <t>NOx (MT)</t>
  </si>
  <si>
    <t>Value of NOx/metric ton</t>
  </si>
  <si>
    <t>NOx Savings (2021$)</t>
  </si>
  <si>
    <t>CO2 (MT)</t>
  </si>
  <si>
    <t>CO2 Savings (2021$)</t>
  </si>
  <si>
    <t>Discounted Emissions 3%</t>
  </si>
  <si>
    <t>Discounted Emissions 7%</t>
  </si>
  <si>
    <t>Discounted Total</t>
  </si>
  <si>
    <t>Slope TTS Truck VHT Avoided</t>
  </si>
  <si>
    <t>Maint Delay Truck VHT Avoided</t>
  </si>
  <si>
    <t xml:space="preserve">DMS Delay Truck VHT Avoided </t>
  </si>
  <si>
    <t>PM2.5 (MT)</t>
  </si>
  <si>
    <t>Value of PM2.5/ metric ton</t>
  </si>
  <si>
    <t>PM 2.5 Savings (2021$)</t>
  </si>
  <si>
    <t xml:space="preserve"> </t>
  </si>
  <si>
    <t>Pedestrian Improvements</t>
  </si>
  <si>
    <t>Pedestrian Mile Count</t>
  </si>
  <si>
    <t xml:space="preserve">Per Person-Mile Rate Pedestrian Improvement </t>
  </si>
  <si>
    <t>Mortality Reduction Factor-Walking</t>
  </si>
  <si>
    <t>Mortality Reduction Factor-Cycling</t>
  </si>
  <si>
    <t>AT Number of Walking Trips</t>
  </si>
  <si>
    <t>Population make-up adjustment</t>
  </si>
  <si>
    <t>2023 BCA Guidance recommendation</t>
  </si>
  <si>
    <t>Number of Current Parking Spaces</t>
  </si>
  <si>
    <t>Number of Added Trail Parking Spaces</t>
  </si>
  <si>
    <t>Proportionate Percentage of Induced Trips</t>
  </si>
  <si>
    <t>Pedestrian Facility Improvement</t>
  </si>
  <si>
    <t xml:space="preserve"> Annual Pedestrian Traffic</t>
  </si>
  <si>
    <t>Pedestrian Value Add</t>
  </si>
  <si>
    <t>Pedestrian value add Savings (Discounted at 7%)</t>
  </si>
  <si>
    <t>Pedestrian Induced - Health and Recreation</t>
  </si>
  <si>
    <t>Annual Induced AT Trips</t>
  </si>
  <si>
    <t>Mortality Reduction Value</t>
  </si>
  <si>
    <t>Mortality Reduction Savings (Discounted at 7%)</t>
  </si>
  <si>
    <t>Trail Section Hiked</t>
  </si>
  <si>
    <t>Day of the Week</t>
  </si>
  <si>
    <t>Date of collection</t>
  </si>
  <si>
    <t>Month</t>
  </si>
  <si>
    <t>General Comments</t>
  </si>
  <si>
    <t># Day Hikers</t>
  </si>
  <si>
    <t># Thru-Hikers</t>
  </si>
  <si>
    <t># Backpackers/Section Hikers</t>
  </si>
  <si>
    <t># Groups (only groups 7+ people)</t>
  </si>
  <si>
    <t># within each group</t>
  </si>
  <si>
    <t>Horse Riders (GRSM only)</t>
  </si>
  <si>
    <t xml:space="preserve">Total People Seen </t>
  </si>
  <si>
    <t># Interactions</t>
  </si>
  <si>
    <t>lbs. of trash</t>
  </si>
  <si>
    <t>gallons of trash</t>
  </si>
  <si>
    <t># Visible TP/Poop instances</t>
  </si>
  <si>
    <t># Fire Rings Dismantled</t>
  </si>
  <si>
    <t>Sample Data Extrapolation</t>
  </si>
  <si>
    <t xml:space="preserve">Fontana Dam to Mollies Ridge Shelter. </t>
  </si>
  <si>
    <t>Fri</t>
  </si>
  <si>
    <t>02-25-2022</t>
  </si>
  <si>
    <t xml:space="preserve">Renaturalized a campfire in the flat area just below Shuckstack firetower. 
Renaturalized a campfire at base of Shuckstack. Talked to five thru-hikers at Shuckstack. All but one had permit. I did not have paper permits so I provided him GRSM Backcountry Office number. Later confirmed with Ricky that the hiker got their permit. 
Inspected campsite 113. Minimal trash. Dispersed fire ring at one tentsite. 
Cleared multiple blowdowns between Fontana and Mollies Ridge Shelter. Documented ones I cannot do myself. </t>
  </si>
  <si>
    <t>Days observed</t>
  </si>
  <si>
    <t>Wkdy Avg</t>
  </si>
  <si>
    <t>Wknd Avg</t>
  </si>
  <si>
    <t>Season Weeks</t>
  </si>
  <si>
    <t>Season Wkdy</t>
  </si>
  <si>
    <t>Season Wknd</t>
  </si>
  <si>
    <t>Extrapolated</t>
  </si>
  <si>
    <t xml:space="preserve">Mollies Ridge Shelter to Spence Field Shelter, then back to Russell Field Shelter. </t>
  </si>
  <si>
    <t>Sat</t>
  </si>
  <si>
    <t>02-26-2022</t>
  </si>
  <si>
    <t xml:space="preserve">Hiked from Mollies Ridge Shelter to Spence Field Shelter. Ran into Ricky and some backpackers. Dropped off sanitizing wipes for privy and backtracked to Russell Field Shelter. 
Met and talked with dayhikers doing loop from Cades Cove. Provided a quick weather report. Met thru-hiker; had permit. 
Met backpackers at Russell that were staying for the night. Both groups actual size were smaller than their permits due to dropouts from weather. Three thru-hikers arrived afterwards. All had permits. </t>
  </si>
  <si>
    <t>February</t>
  </si>
  <si>
    <t>Winter</t>
  </si>
  <si>
    <t xml:space="preserve">Russell Field Shelter to Fontana Dam. </t>
  </si>
  <si>
    <t>Sun</t>
  </si>
  <si>
    <t>02-27-2022</t>
  </si>
  <si>
    <t xml:space="preserve">Rainy start to the morning. Ran into three backpackers and a thru-hiker just north of Mollies. All had permits and in good spirits. 
Met five thru-hikers at Mollies Ridge Shelter. They were waiting out the rain before pushing on. Passed on some LNT advice, including encouragement to eat and cook outside sleeping area. Hikers were receptive to me and had permits. 
Met two thru-hikers just north of campsite 113. They mentioned a guthook comment that showed camping closures due to bear activity in the Snowbird Max Patch area. The closure seems to have been lifted, but the comment will probably cause confusion. I've attached a guthook comment picture for reference. Will likely need to reach out to the app to have it removed. 
Met a backpacker north of Fontana Dam without a permit. We were unable to contact the backcountry office, but I gathered his information and provided a paper permit so a reservation number could be issued at a later time when contact could be made. </t>
  </si>
  <si>
    <t>March</t>
  </si>
  <si>
    <t>Spring</t>
  </si>
  <si>
    <t>Thurs</t>
  </si>
  <si>
    <t>03-03-2022</t>
  </si>
  <si>
    <t xml:space="preserve">Beautiful weather. Light traffic on the trail. All thru-hikers had permits.
 A few hikers left their packs at the junction of the A.T. and Shuckstack firetower. Encouraged them to not leave packs unattended. </t>
  </si>
  <si>
    <t>April</t>
  </si>
  <si>
    <t>Fall</t>
  </si>
  <si>
    <t xml:space="preserve">Mollies Ridge Shelter to Spence Field Shelter. </t>
  </si>
  <si>
    <t>03-04-2022</t>
  </si>
  <si>
    <t xml:space="preserve">Very warm day. Met most of my hikers at Spence Field Shelter. All had permits. Talked about best LNT practices to avoid shelter closures with them. </t>
  </si>
  <si>
    <t xml:space="preserve"> 0</t>
  </si>
  <si>
    <t>May</t>
  </si>
  <si>
    <t>Summer</t>
  </si>
  <si>
    <t>Campsite 113 to Fontana Dam</t>
  </si>
  <si>
    <t>03-06-2022</t>
  </si>
  <si>
    <t xml:space="preserve">Warm day. Met fewer thru-hikers than the previous day. All who would talk to me had permits. 
Met the unnamed man who had been exhibiting odd behavior to other hikers. I tried to stop and talk to him, but he never acknowledged me and kept walking. More details in the main incident section. </t>
  </si>
  <si>
    <t>0</t>
  </si>
  <si>
    <t>03-10-2022</t>
  </si>
  <si>
    <t xml:space="preserve">Not much traffic on the trail. Hikers I talked to indicated that many were waiting in Fontana for the storm to pass. No issue with permits. </t>
  </si>
  <si>
    <t>03-12-2022</t>
  </si>
  <si>
    <t xml:space="preserve">Very cold and snowy. Snowpack height was usually at my ankle and sometimes came to my knees. 
Very few hikers. One hiker was waiting out weather at Mollies Ridge Shelter. Another had camped at Ekaneeklee Gap the night before. I made sure he was safe from weather, but took a brief moment to address designated campsites in the Smokies. 
Only other hikers I saw were near campsite 113. Passed on trail conditions to them. </t>
  </si>
  <si>
    <t>**Assume Spring/Fall Similar activity</t>
  </si>
  <si>
    <t xml:space="preserve">Fontana dam to Shuckstack firetower and back. </t>
  </si>
  <si>
    <t>03-13-2022</t>
  </si>
  <si>
    <t xml:space="preserve">Dayhike up to Shuckstack Firetower. Sunny weather made snow generally more manageable. 
Met lots of hikers who were waiting out the weather. No issues with permits. Some hikers indicated even more were waiting out for nicer weather. 
Met two rangers at the trailhead keeping an eye out for Ice/Pina Colada (the problematic hiker). Talked with them and passed on information I had heard from other hikers. </t>
  </si>
  <si>
    <t xml:space="preserve">Fontana Dam to Mollies Ridge Shelter </t>
  </si>
  <si>
    <t>03-24-2022</t>
  </si>
  <si>
    <t xml:space="preserve">The permit box was very full. Lots of hikers on the trail. No issues with permits. 
Found and dispersed a fire ring at one of the tentsites at Campsite 113. 
</t>
  </si>
  <si>
    <t xml:space="preserve">Mollies Ridge Shelter to Fontana Dam </t>
  </si>
  <si>
    <t>03-27-2022</t>
  </si>
  <si>
    <t xml:space="preserve">Cold start to the morning. Then progressed to warmer weather in the day. 
Met most thru-hikers so far this season. All who stopped to talked to me had permits.
Directed traffic to try to spread thru-hikers as evenly as possible between the first three shelters. 
Told backpackers about shelter policy so they were aware of how to handle shelter space with the multitude of thru-hikers in mind. </t>
  </si>
  <si>
    <t>Fontana Dam to Shuckstack Firetower and back</t>
  </si>
  <si>
    <t>03-31-2022</t>
  </si>
  <si>
    <t xml:space="preserve">Broke down a very large fire ring in the meadow below Shuckstack. 
Passed on information about fires in the Park to hikers. </t>
  </si>
  <si>
    <t xml:space="preserve">Fontana Dam to Russell Field Shelter </t>
  </si>
  <si>
    <t>04-01-2022</t>
  </si>
  <si>
    <t xml:space="preserve">Cut down multiple blowdowns. 
Encouraged hikers to avoid making fires due to heightened wildfire conditions. 
Provided LNT education on wildflowers to help hikers choose best camping spots around shelters. </t>
  </si>
  <si>
    <t>04-03-2022</t>
  </si>
  <si>
    <t xml:space="preserve">Lots of traffic on the trail. Checked permits and directed traffic between the first three shelters.
Encouraged hikers to not have fires and not eat in shelters. All I talked to were receptive to advice. 
Talked with hikers that described concern related to Half Pike, the hiker with the spear. Wrote down information to report information Dispatch </t>
  </si>
  <si>
    <t>04-14-2022</t>
  </si>
  <si>
    <t xml:space="preserve">Rainy in the morning. Very muddy on the trail. Not very many hikers on the trail. 
Dispersed fire rings at illegal campsite 1 mile into park and Mollies Ridge Shelter. 
Found odd graffiti at remnants of old ranger house at Shuckstack firetower. Also found trash in the base of the ranger house foundation. Did not previously realize that was accessible. The access point is fairly deep so I may need help getting the trash out. </t>
  </si>
  <si>
    <t>Russell Field Shelter to Fontana Dam</t>
  </si>
  <si>
    <t>04-17-2022</t>
  </si>
  <si>
    <t xml:space="preserve">Packed out food bag that was previously stored in toolbox at Mollies Ridge Shelter. 
Most thru-hikers entering the park in one day so far. Most were encountered later in the day which indicates high traffic at campsite 113 and Mollies Ridge Shelter. Encouraged hikers to push past Mollies if they could. 
Found and dispersed an old fire ring at junction with the Gregory Bald Trail. </t>
  </si>
  <si>
    <t>04-28-2022</t>
  </si>
  <si>
    <t xml:space="preserve">Not very many hikers on the trail. Nothing significant to note otherwise. 
</t>
  </si>
  <si>
    <t>Tues</t>
  </si>
  <si>
    <t>05-03-2022</t>
  </si>
  <si>
    <t xml:space="preserve">Very quiet on the trail. Single digits in thru-hikers encountered. Nothing significant to report. </t>
  </si>
  <si>
    <t xml:space="preserve">Fontana Dam to close to campsite 113 and back. </t>
  </si>
  <si>
    <t>05-12-2022</t>
  </si>
  <si>
    <t xml:space="preserve">Encountered hiker with hip injury. Hiked back with her to ensure she returned to Fontana Dam safely. Did not return to Fontana until the evening due to slow pace. Encountered other hikers, but did not engage with them as much as I normally would due to assistance with injured hiker. 
Spent the night at Fontana Village since hike back to an overnight site was not feasible. </t>
  </si>
  <si>
    <t xml:space="preserve">Fontana Dam to Spence Field Shelter </t>
  </si>
  <si>
    <t>05-13-2022</t>
  </si>
  <si>
    <t xml:space="preserve">Heard radio chatter about a bear encounter at Russell Field Shelter. Shortly after arrival at Russell, saw problematic bear and scared it away multiple times over the course of two hours. Informed hikers at Russell that closure was extremely likely. Several chose to hike on before closure was officially confirmed. All left after closure was confirmed by dispatch. Posted closure signs for future hikers. Hiked on to Spence Field Shelter afterwards. 
More information on bear encounter in separate bear form. </t>
  </si>
  <si>
    <t>05-19-2022</t>
  </si>
  <si>
    <t xml:space="preserve">No thru-hikers, only backpackers. Fairly quiet on trail. Passed on information about bear safety and Russell Field Shelter closure. </t>
  </si>
  <si>
    <t xml:space="preserve">Campsite 113 to Fontana Dam </t>
  </si>
  <si>
    <t>05-22-2022</t>
  </si>
  <si>
    <t xml:space="preserve">Mixture of thru-hikers and backpackers. Passed on information about bear safety and Russell field shelter closure. Encouraged hikers to keep gear close at all times. 
Passed on water condition at Mollies Ridge Shelter. There is a rumor that the shelter's water source is dry, which isn't true. 
Found a partially burnt log in meadow below Shuckstack firetower. Renaturalized site. 
Shuckstack floor and viewbox showing signs of wear. Repairs could be necessary in the future. </t>
  </si>
  <si>
    <t xml:space="preserve">Fontana Dam to Campsite 113 and back. </t>
  </si>
  <si>
    <t>05-26-2022</t>
  </si>
  <si>
    <t xml:space="preserve">Packed out the abandoned pack at 113 that I reported last week. Out-and-back hike from Fontana. 
Very rainy weather. Not many hikers on the trail. Passed on shelter closure info to all I saw. </t>
  </si>
  <si>
    <t>05-27-2022</t>
  </si>
  <si>
    <t xml:space="preserve">Wet trail and rainy weather. Saw only backpackers. They had various levels of experience, but all seemed to be in good spirits despite the weather. Nothing significant to report otherwise. </t>
  </si>
  <si>
    <t>05-29-2022</t>
  </si>
  <si>
    <t>Encountered primarily backpackers. Passed on information about bear awareness and safety. 
Most thru-hikers I encountered weren't aware of Russell Field Shelter closure. Can the ATC broadcast information to hikers about the closure?
Last day of the season. A busy and successful year on the trail!</t>
  </si>
  <si>
    <t>Average</t>
  </si>
  <si>
    <t xml:space="preserve">2050 projection source: </t>
  </si>
  <si>
    <t>CO2 Emissions from a gallon of gasoline ( grams CO2/ gallon)</t>
  </si>
  <si>
    <t>Fuel Type</t>
  </si>
  <si>
    <t>Source: California Air Resources Board</t>
  </si>
  <si>
    <t>https://arb.ca.gov/emfac/emissions-inventory/747eda1236e185f07668f8c5fabd093d532c0f50</t>
  </si>
  <si>
    <t>https://arb.ca.gov/emfac/emissions-inventory/b63464fd92fc8220a78715221ed7159727297627</t>
  </si>
  <si>
    <t>Conversion rate for grams per metric ton</t>
  </si>
  <si>
    <t>Gasoline</t>
  </si>
  <si>
    <t>Inputs for output on website:</t>
  </si>
  <si>
    <t>Output: On road Emission Rates</t>
  </si>
  <si>
    <t>Emission Rates (grams/mile) - Passenger Vehicles</t>
  </si>
  <si>
    <t>Model Version: EMFAC2-21v1.0.1</t>
  </si>
  <si>
    <t>CO2</t>
  </si>
  <si>
    <t>PM2.5</t>
  </si>
  <si>
    <t>Nox</t>
  </si>
  <si>
    <t>So2</t>
  </si>
  <si>
    <t>Region Type: Statewide</t>
  </si>
  <si>
    <t>Historical Data</t>
  </si>
  <si>
    <t>Calendar year: 2019-2050</t>
  </si>
  <si>
    <t>Vehicle: LDA</t>
  </si>
  <si>
    <t>LDA = Passenger Vehicle</t>
  </si>
  <si>
    <t>Season: Annual</t>
  </si>
  <si>
    <t>Model Year: Aggregate</t>
  </si>
  <si>
    <t>Speed: Aggregate</t>
  </si>
  <si>
    <t>Fuel: Gasoline</t>
  </si>
  <si>
    <t>Projections</t>
  </si>
  <si>
    <t>For existing data:</t>
  </si>
  <si>
    <t>Diesel - Heavy Duty Vehicles</t>
  </si>
  <si>
    <t>FOR 2050 Projections:</t>
  </si>
  <si>
    <t>T7 NNOOS Class 8 Heavy-Heavy Duty Non-Neighboring Out-of-state Truck T7 NNOOS</t>
  </si>
  <si>
    <t>Emission Rates (grams/mile) - Trucks</t>
  </si>
  <si>
    <t xml:space="preserve">PM2.5 </t>
  </si>
  <si>
    <t>Emissions Values (Source: January 2023 BCA Discretionary Guidance)</t>
  </si>
  <si>
    <t>Emissions Type</t>
  </si>
  <si>
    <t>Sox</t>
  </si>
  <si>
    <t>Deer hit near wildlife bridge</t>
  </si>
  <si>
    <t>Deer Growth Factor</t>
  </si>
  <si>
    <t>Value of Deer (2021$)</t>
  </si>
  <si>
    <t>Wild Animal BCA Worksheet (codot.gov)</t>
  </si>
  <si>
    <t>Wildlife Crossing CRF - CODOT</t>
  </si>
  <si>
    <t>Annual Deer Incidents Avoided</t>
  </si>
  <si>
    <t>Wildlife Savings - Deer Crossing</t>
  </si>
  <si>
    <t>Discounted Wildlife Savings 7%</t>
  </si>
  <si>
    <t>RouteID</t>
  </si>
  <si>
    <t>BMP</t>
  </si>
  <si>
    <t>EMP</t>
  </si>
  <si>
    <t>Segment</t>
  </si>
  <si>
    <t>Mile Markers</t>
  </si>
  <si>
    <t>Proposed Conditions</t>
  </si>
  <si>
    <t>Carter recommendations</t>
  </si>
  <si>
    <t>US 129: SOUTH OF SR 1275 (FIVE POINT ROAD) TO NC 143</t>
  </si>
  <si>
    <t>11.117 to 11.468</t>
  </si>
  <si>
    <t>Three lanes with a dedicated turning lane</t>
  </si>
  <si>
    <r>
      <rPr>
        <b/>
        <sz val="11"/>
        <color theme="1"/>
        <rFont val="Calibri"/>
        <family val="2"/>
        <scheme val="minor"/>
      </rPr>
      <t>Addition of passing lane</t>
    </r>
    <r>
      <rPr>
        <sz val="11"/>
        <color theme="1"/>
        <rFont val="Calibri"/>
        <family val="2"/>
        <scheme val="minor"/>
      </rPr>
      <t xml:space="preserve">: Apply CMF of 0.75 to total crashes
</t>
    </r>
    <r>
      <rPr>
        <b/>
        <sz val="11"/>
        <color theme="1"/>
        <rFont val="Calibri"/>
        <family val="2"/>
        <scheme val="minor"/>
      </rPr>
      <t>Shoulder widening</t>
    </r>
    <r>
      <rPr>
        <sz val="11"/>
        <color theme="1"/>
        <rFont val="Calibri"/>
        <family val="2"/>
        <scheme val="minor"/>
      </rPr>
      <t>: Apply CMF of 0.95 to total crashes (0.77 for lane departure crashes applies only to the 24% proportion of lane departure crashes); calculation: 1-((1-0.77)*0.24) = 0.95</t>
    </r>
  </si>
  <si>
    <t>NC 143: US 129 TO SR 1223 (BEECH CREEK ROAD)</t>
  </si>
  <si>
    <t>29.644 to 33.314</t>
  </si>
  <si>
    <t>Widen to 3 lanes with alternate climbing and passing lanes; widen and pave shoulders and modify super-elevations</t>
  </si>
  <si>
    <r>
      <rPr>
        <b/>
        <sz val="11"/>
        <color theme="1"/>
        <rFont val="Calibri"/>
        <family val="2"/>
        <scheme val="minor"/>
      </rPr>
      <t>Addition of passing lane</t>
    </r>
    <r>
      <rPr>
        <sz val="11"/>
        <color theme="1"/>
        <rFont val="Calibri"/>
        <family val="2"/>
        <scheme val="minor"/>
      </rPr>
      <t xml:space="preserve">: Apply CMF of 0.75 to total crashes
</t>
    </r>
    <r>
      <rPr>
        <b/>
        <sz val="11"/>
        <color theme="1"/>
        <rFont val="Calibri"/>
        <family val="2"/>
        <scheme val="minor"/>
      </rPr>
      <t>Shoulder widening</t>
    </r>
    <r>
      <rPr>
        <sz val="11"/>
        <color theme="1"/>
        <rFont val="Calibri"/>
        <family val="2"/>
        <scheme val="minor"/>
      </rPr>
      <t xml:space="preserve">: Apply CMF of 0.86 to total crashes (0.77 for lane departure crashes applies only to the 59% proportion of lane departure crashes); calculation: 1-((1-0.77)*0.59) = 0.86
</t>
    </r>
    <r>
      <rPr>
        <b/>
        <sz val="11"/>
        <color theme="1"/>
        <rFont val="Calibri"/>
        <family val="2"/>
        <scheme val="minor"/>
      </rPr>
      <t>Superelevation</t>
    </r>
    <r>
      <rPr>
        <sz val="11"/>
        <color theme="1"/>
        <rFont val="Calibri"/>
        <family val="2"/>
        <scheme val="minor"/>
      </rPr>
      <t>: I do not recommend applying a CMF for this improvement due to overlapping effect with other improvements.</t>
    </r>
  </si>
  <si>
    <t>NC 143: SR 1223 (BEECH CREEK ROAD) TO NORTH OF APPALACHIAN TRAIL</t>
  </si>
  <si>
    <t>33.314 to 36.85</t>
  </si>
  <si>
    <t>Widen to 3, 12-ft lanes with alternate climbing and passing lanes; widen/pave shoulders; modify super-elevations to improve flow; land bridge to provide grade separation for pedestrian users of the App Trail and wildlife</t>
  </si>
  <si>
    <r>
      <rPr>
        <b/>
        <sz val="11"/>
        <color theme="1"/>
        <rFont val="Calibri"/>
        <family val="2"/>
        <scheme val="minor"/>
      </rPr>
      <t>Addition of passing lane</t>
    </r>
    <r>
      <rPr>
        <sz val="11"/>
        <color theme="1"/>
        <rFont val="Calibri"/>
        <family val="2"/>
        <scheme val="minor"/>
      </rPr>
      <t xml:space="preserve">: Apply CMF of 0.75 to total crashes
</t>
    </r>
    <r>
      <rPr>
        <b/>
        <sz val="11"/>
        <color theme="1"/>
        <rFont val="Calibri"/>
        <family val="2"/>
        <scheme val="minor"/>
      </rPr>
      <t>Shoulder widening</t>
    </r>
    <r>
      <rPr>
        <sz val="11"/>
        <color theme="1"/>
        <rFont val="Calibri"/>
        <family val="2"/>
        <scheme val="minor"/>
      </rPr>
      <t xml:space="preserve">: Apply CMF of 0.86 to total crashes (0.77 for lane departure crashes applies only to the 59% proportion of lane departure crashes); calculation: 1-((1-0.77)*0.59) = 0.86
</t>
    </r>
    <r>
      <rPr>
        <b/>
        <sz val="11"/>
        <color theme="1"/>
        <rFont val="Calibri"/>
        <family val="2"/>
        <scheme val="minor"/>
      </rPr>
      <t>Superelevation</t>
    </r>
    <r>
      <rPr>
        <sz val="11"/>
        <color theme="1"/>
        <rFont val="Calibri"/>
        <family val="2"/>
        <scheme val="minor"/>
      </rPr>
      <t xml:space="preserve">: I do not recommend applying a CMF for this improvement due to overlapping effect with other improvements.
</t>
    </r>
    <r>
      <rPr>
        <b/>
        <sz val="11"/>
        <color theme="1"/>
        <rFont val="Calibri"/>
        <family val="2"/>
        <scheme val="minor"/>
      </rPr>
      <t>Bridge</t>
    </r>
    <r>
      <rPr>
        <sz val="11"/>
        <color theme="1"/>
        <rFont val="Calibri"/>
        <family val="2"/>
        <scheme val="minor"/>
      </rPr>
      <t>: No crash reductions calculated due to the fact that no pedestrian crashes were located to this section.</t>
    </r>
  </si>
  <si>
    <t>NC 143: NORTH OF APPALACHIAN TRAIL TO NC 28</t>
  </si>
  <si>
    <t>36.85 to 38.48</t>
  </si>
  <si>
    <t>Widen to 3, 12-ft lanes with alternate climbing and passing lanes; widen/pave shoulders; modify super-elevations to improve flow</t>
  </si>
  <si>
    <t>NC 28: NC 143 TO EAST OF SR 1235 (GUNTERS GAP ROAD)</t>
  </si>
  <si>
    <t>6.75 to 8.017</t>
  </si>
  <si>
    <r>
      <rPr>
        <b/>
        <sz val="11"/>
        <color theme="1"/>
        <rFont val="Calibri"/>
        <family val="2"/>
        <scheme val="minor"/>
      </rPr>
      <t>Addition of passing lane</t>
    </r>
    <r>
      <rPr>
        <sz val="11"/>
        <color theme="1"/>
        <rFont val="Calibri"/>
        <family val="2"/>
        <scheme val="minor"/>
      </rPr>
      <t xml:space="preserve">: Apply CMF of 0.75 to total crashes
</t>
    </r>
    <r>
      <rPr>
        <b/>
        <sz val="11"/>
        <color theme="1"/>
        <rFont val="Calibri"/>
        <family val="2"/>
        <scheme val="minor"/>
      </rPr>
      <t>Shoulder widening</t>
    </r>
    <r>
      <rPr>
        <sz val="11"/>
        <color theme="1"/>
        <rFont val="Calibri"/>
        <family val="2"/>
        <scheme val="minor"/>
      </rPr>
      <t xml:space="preserve">: Apply CMF of 0.86 to total crashes (0.77 for lane departure crashes applies only to the 58% proportion of lane departure crashes); calculation: 1-((1-0.77)*0.58) = 0.86
</t>
    </r>
    <r>
      <rPr>
        <b/>
        <sz val="11"/>
        <color theme="1"/>
        <rFont val="Calibri"/>
        <family val="2"/>
        <scheme val="minor"/>
      </rPr>
      <t>Superelevation</t>
    </r>
    <r>
      <rPr>
        <sz val="11"/>
        <color theme="1"/>
        <rFont val="Calibri"/>
        <family val="2"/>
        <scheme val="minor"/>
      </rPr>
      <t>: I do not recommend applying a CMF for this improvement due to overlapping effect with other improvements.</t>
    </r>
  </si>
  <si>
    <t>NC 28: TO EAST OF SR 1235 (GUNTERS GAP ROAD)</t>
  </si>
  <si>
    <t>5.33 to 6.75</t>
  </si>
  <si>
    <t>Widen to 3, 12-ft lanes with alternate climbing and passing lanes; widen/pave shoulders; modify super-elevations to improve flow; new multi-phase path</t>
  </si>
  <si>
    <r>
      <rPr>
        <b/>
        <sz val="11"/>
        <color theme="1"/>
        <rFont val="Calibri"/>
        <family val="2"/>
        <scheme val="minor"/>
      </rPr>
      <t>Addition of passing lane</t>
    </r>
    <r>
      <rPr>
        <sz val="11"/>
        <color theme="1"/>
        <rFont val="Calibri"/>
        <family val="2"/>
        <scheme val="minor"/>
      </rPr>
      <t xml:space="preserve">: Apply CMF of 0.75 to total crashes
</t>
    </r>
    <r>
      <rPr>
        <b/>
        <sz val="11"/>
        <color theme="1"/>
        <rFont val="Calibri"/>
        <family val="2"/>
        <scheme val="minor"/>
      </rPr>
      <t>Shoulder widening</t>
    </r>
    <r>
      <rPr>
        <sz val="11"/>
        <color theme="1"/>
        <rFont val="Calibri"/>
        <family val="2"/>
        <scheme val="minor"/>
      </rPr>
      <t xml:space="preserve">: Apply CMF of 0.86 to total crashes (0.77 for lane departure crashes applies only to the 58% proportion of lane departure crashes); calculation: 1-((1-0.77)*0.58) = 0.86
</t>
    </r>
    <r>
      <rPr>
        <b/>
        <sz val="11"/>
        <color theme="1"/>
        <rFont val="Calibri"/>
        <family val="2"/>
        <scheme val="minor"/>
      </rPr>
      <t>Superelevation</t>
    </r>
    <r>
      <rPr>
        <sz val="11"/>
        <color theme="1"/>
        <rFont val="Calibri"/>
        <family val="2"/>
        <scheme val="minor"/>
      </rPr>
      <t xml:space="preserve">: I do not recommend applying a CMF for this improvement due to overlapping effect with other improvements.
</t>
    </r>
    <r>
      <rPr>
        <b/>
        <sz val="11"/>
        <color theme="1"/>
        <rFont val="Calibri"/>
        <family val="2"/>
        <scheme val="minor"/>
      </rPr>
      <t>Multi-phase path</t>
    </r>
    <r>
      <rPr>
        <sz val="11"/>
        <color theme="1"/>
        <rFont val="Calibri"/>
        <family val="2"/>
        <scheme val="minor"/>
      </rPr>
      <t>: No crash reductions calculated due to the fact that no pedestrian crashes were located to this section.</t>
    </r>
  </si>
  <si>
    <t>Information Documentation</t>
  </si>
  <si>
    <t>Add passing/climbing lane in a single direction on rural 2-lane road:</t>
  </si>
  <si>
    <t>CMF = 0.75 for total crashes (NCDOT List 4.16.1)</t>
  </si>
  <si>
    <t>Widen paved shoulder (assume 0' to 4') on rural 2-lane road:</t>
  </si>
  <si>
    <t>Relevant Crash Proportions from TEAAS Located Crashes by Route</t>
  </si>
  <si>
    <t>59% lane departure crashes</t>
  </si>
  <si>
    <t>58% lane departure crashes</t>
  </si>
  <si>
    <t>24% lane departure crashes</t>
  </si>
  <si>
    <t>Source: NCDOT Safety Division</t>
  </si>
  <si>
    <t>Table 10.1 - GROSS DOMESTIC PRODUCT AND DEFLATORS USED IN THE HISTORICAL TABLES:  1940 - 2027</t>
  </si>
  <si>
    <t>(Fiscal Year 2012 = 1.000)</t>
  </si>
  <si>
    <t>Fiscal Year</t>
  </si>
  <si>
    <t>GDP (in</t>
  </si>
  <si>
    <t>GDP</t>
  </si>
  <si>
    <t>Composite Outlay Deflators</t>
  </si>
  <si>
    <t>billions of</t>
  </si>
  <si>
    <t>(Chained)</t>
  </si>
  <si>
    <t>Payment for Individuals</t>
  </si>
  <si>
    <t>Other</t>
  </si>
  <si>
    <t>Net Interest</t>
  </si>
  <si>
    <t>Undis-</t>
  </si>
  <si>
    <t>All Other</t>
  </si>
  <si>
    <t>Addendum: Direct Capital</t>
  </si>
  <si>
    <t>dollars)</t>
  </si>
  <si>
    <t>Price Index</t>
  </si>
  <si>
    <t>Defense</t>
  </si>
  <si>
    <t>Nondefense</t>
  </si>
  <si>
    <t>Grants</t>
  </si>
  <si>
    <t>tributed</t>
  </si>
  <si>
    <t>Offsetting</t>
  </si>
  <si>
    <t>Direct</t>
  </si>
  <si>
    <t>Receipts</t>
  </si>
  <si>
    <t>TQ</t>
  </si>
  <si>
    <t>2022 estimate</t>
  </si>
  <si>
    <t>2023 estimate</t>
  </si>
  <si>
    <t>2024 estimate</t>
  </si>
  <si>
    <t>2025 estimate</t>
  </si>
  <si>
    <t>2026 estimate</t>
  </si>
  <si>
    <t>2027 estimate</t>
  </si>
  <si>
    <t>Note: Constant dollar research and development outlays are based on the GDP (chained) price index.</t>
  </si>
  <si>
    <t>updated 12/21/22</t>
  </si>
  <si>
    <t>Capital Costs of the Project</t>
  </si>
  <si>
    <t>Idling Emissions Savings</t>
  </si>
  <si>
    <t>Wildlife Safety Analysis</t>
  </si>
  <si>
    <t>Delays Avoided due to Incidents on US 74 from Dynamic Messaging Signs (DMS) and Trailblazers</t>
  </si>
  <si>
    <t>Signal Coordination Truck VHT Avoided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</si>
</sst>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6" formatCode="&quot;$&quot;#,##0_);[Red]\(&quot;$&quot;#,##0\)"/>
    <numFmt numFmtId="8" formatCode="&quot;$&quot;#,##0.00_);[Red]\(&quot;$&quot;#,##0.00\)"/>
    <numFmt numFmtId="44" formatCode="_(&quot;$&quot;* #,##0.00_);_(&quot;$&quot;* \(#,##0.00\);_(&quot;$&quot;* &quot;-&quot;??_);_(@_)"/>
    <numFmt numFmtId="43" formatCode="_(* #,##0.00_);_(* \(#,##0.00\);_(* &quot;-&quot;??_);_(@_)"/>
    <numFmt numFmtId="164" formatCode="_(&quot;$&quot;* #,##0_);_(&quot;$&quot;* \(#,##0\);_(&quot;$&quot;* &quot;-&quot;??_);_(@_)"/>
    <numFmt numFmtId="165" formatCode="0.0"/>
    <numFmt numFmtId="166" formatCode="_(* #,##0_);_(* \(#,##0\);_(* &quot;-&quot;??_);_(@_)"/>
    <numFmt numFmtId="167" formatCode="_(* #,##0.0_);_(* \(#,##0.0\);_(* &quot;-&quot;??_);_(@_)"/>
    <numFmt numFmtId="168" formatCode="&quot;$&quot;#,##0.00"/>
    <numFmt numFmtId="169" formatCode="&quot;$&quot;#,##0"/>
    <numFmt numFmtId="170" formatCode="#."/>
    <numFmt numFmtId="171" formatCode="m\o\n\th\ d\,\ yyyy"/>
    <numFmt numFmtId="172" formatCode="#.00"/>
    <numFmt numFmtId="173" formatCode="[Red]&quot;E: &quot;#,##0;[Red]&quot;E: &quot;\-#,##0;[Blue]&quot;OK&quot;"/>
    <numFmt numFmtId="174" formatCode="0.0%"/>
    <numFmt numFmtId="175" formatCode="&quot;$&quot;#,##0.0"/>
    <numFmt numFmtId="176" formatCode="0.000"/>
    <numFmt numFmtId="177" formatCode="\$#,##0;\$#,##0"/>
    <numFmt numFmtId="178" formatCode="_(\$* #,##0.00_);_(\$* \(#,##0.00\);_(\$* \-??_);_(@_)"/>
    <numFmt numFmtId="179" formatCode="_(* #,##0.0_);_(* \(#,##0.0\);_(* &quot;-&quot;?_);_(@_)"/>
    <numFmt numFmtId="180" formatCode="&quot;$&quot;#,##0.00;\-&quot;$&quot;#,##0.00"/>
    <numFmt numFmtId="181" formatCode="mm\-dd\-yyyy"/>
    <numFmt numFmtId="182" formatCode="_(* #,##0.000_);_(* \(#,##0.000\);_(* &quot;-&quot;??_);_(@_)"/>
  </numFmts>
  <fonts count="75"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Arial"/>
      <family val="2"/>
    </font>
    <font>
      <b/>
      <sz val="10"/>
      <color theme="1"/>
      <name val="Arial"/>
      <family val="2"/>
    </font>
    <font>
      <u/>
      <sz val="11"/>
      <color theme="10"/>
      <name val="Calibri"/>
      <family val="2"/>
      <scheme val="minor"/>
    </font>
    <font>
      <sz val="11"/>
      <color indexed="8"/>
      <name val="Calibri"/>
      <family val="2"/>
      <scheme val="minor"/>
    </font>
    <font>
      <u/>
      <sz val="10"/>
      <color theme="10"/>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rgb="FF000000"/>
      <name val="Times New Roman"/>
      <family val="1"/>
    </font>
    <font>
      <sz val="12"/>
      <color theme="1"/>
      <name val="Times New Roman"/>
      <family val="2"/>
    </font>
    <font>
      <b/>
      <sz val="10"/>
      <name val="Arial"/>
      <family val="2"/>
    </font>
    <font>
      <sz val="10"/>
      <color rgb="FFFF0000"/>
      <name val="Arial"/>
      <family val="2"/>
    </font>
    <font>
      <sz val="10"/>
      <color indexed="10"/>
      <name val="Arial"/>
      <family val="2"/>
    </font>
    <font>
      <sz val="1"/>
      <color indexed="8"/>
      <name val="Courier"/>
      <family val="3"/>
    </font>
    <font>
      <b/>
      <sz val="13"/>
      <color theme="0"/>
      <name val="Calibri"/>
      <family val="2"/>
    </font>
    <font>
      <sz val="11"/>
      <color indexed="8"/>
      <name val="Calibri"/>
      <family val="2"/>
    </font>
    <font>
      <sz val="11"/>
      <color indexed="9"/>
      <name val="Calibri"/>
      <family val="2"/>
    </font>
    <font>
      <sz val="8"/>
      <name val="Arial"/>
      <family val="2"/>
    </font>
    <font>
      <b/>
      <sz val="11"/>
      <color indexed="8"/>
      <name val="Calibri"/>
      <family val="2"/>
    </font>
    <font>
      <b/>
      <sz val="1"/>
      <color indexed="8"/>
      <name val="Courier"/>
      <family val="3"/>
    </font>
    <font>
      <u/>
      <sz val="11"/>
      <color theme="10"/>
      <name val="Calibri"/>
      <family val="2"/>
    </font>
    <font>
      <sz val="10"/>
      <name val="Helv"/>
    </font>
    <font>
      <b/>
      <sz val="10"/>
      <color indexed="8"/>
      <name val="Arial"/>
      <family val="2"/>
    </font>
    <font>
      <b/>
      <sz val="10"/>
      <color indexed="39"/>
      <name val="Arial"/>
      <family val="2"/>
    </font>
    <font>
      <sz val="10"/>
      <color indexed="8"/>
      <name val="Arial"/>
      <family val="2"/>
    </font>
    <font>
      <b/>
      <sz val="12"/>
      <color indexed="8"/>
      <name val="Arial"/>
      <family val="2"/>
    </font>
    <font>
      <b/>
      <sz val="8"/>
      <name val="Arial"/>
      <family val="2"/>
    </font>
    <font>
      <sz val="10"/>
      <color indexed="39"/>
      <name val="Arial"/>
      <family val="2"/>
    </font>
    <font>
      <sz val="19"/>
      <color indexed="48"/>
      <name val="Arial"/>
      <family val="2"/>
    </font>
    <font>
      <b/>
      <sz val="18"/>
      <color indexed="62"/>
      <name val="Cambria"/>
      <family val="2"/>
    </font>
    <font>
      <sz val="8"/>
      <name val="Helv"/>
    </font>
    <font>
      <sz val="10"/>
      <name val="Calibri"/>
      <family val="2"/>
    </font>
    <font>
      <sz val="11"/>
      <name val="Calibri"/>
      <family val="2"/>
      <scheme val="minor"/>
    </font>
    <font>
      <b/>
      <sz val="11"/>
      <name val="Calibri"/>
      <family val="2"/>
      <scheme val="minor"/>
    </font>
    <font>
      <sz val="10"/>
      <color rgb="FF000000"/>
      <name val="Calibri"/>
      <family val="2"/>
    </font>
    <font>
      <sz val="8"/>
      <name val="Calibri"/>
      <family val="2"/>
      <scheme val="minor"/>
    </font>
    <font>
      <sz val="10"/>
      <color theme="1"/>
      <name val="Calibri"/>
      <family val="2"/>
      <scheme val="minor"/>
    </font>
    <font>
      <b/>
      <sz val="10"/>
      <color theme="1"/>
      <name val="Calibri"/>
      <family val="2"/>
      <scheme val="minor"/>
    </font>
    <font>
      <b/>
      <sz val="11"/>
      <color rgb="FFFF0000"/>
      <name val="Calibri"/>
      <family val="2"/>
      <scheme val="minor"/>
    </font>
    <font>
      <sz val="10"/>
      <color rgb="FF000000"/>
      <name val="Calibri"/>
      <family val="2"/>
      <scheme val="minor"/>
    </font>
    <font>
      <b/>
      <sz val="10"/>
      <color rgb="FF000000"/>
      <name val="Times New Roman"/>
      <family val="1"/>
    </font>
    <font>
      <sz val="11"/>
      <color rgb="FF000000"/>
      <name val="Calibri"/>
      <family val="2"/>
      <scheme val="minor"/>
    </font>
    <font>
      <u/>
      <sz val="11"/>
      <color rgb="FF0563C1"/>
      <name val="Calibri"/>
      <family val="2"/>
      <scheme val="minor"/>
    </font>
    <font>
      <b/>
      <sz val="11"/>
      <color rgb="FF000000"/>
      <name val="Calibri"/>
      <family val="2"/>
      <scheme val="minor"/>
    </font>
    <font>
      <sz val="10"/>
      <name val="Calibri"/>
      <family val="2"/>
      <scheme val="minor"/>
    </font>
    <font>
      <i/>
      <sz val="11"/>
      <name val="Calibri"/>
      <family val="2"/>
      <scheme val="minor"/>
    </font>
    <font>
      <sz val="10"/>
      <color rgb="FFFF0000"/>
      <name val="Calibri"/>
      <family val="2"/>
      <scheme val="minor"/>
    </font>
    <font>
      <sz val="12"/>
      <color rgb="FF000000"/>
      <name val="Calibri"/>
      <family val="2"/>
    </font>
    <font>
      <sz val="11"/>
      <color rgb="FF000000"/>
      <name val="Calibri"/>
      <family val="2"/>
    </font>
    <font>
      <sz val="11"/>
      <color theme="0" tint="-0.14999847407452621"/>
      <name val="Calibri"/>
      <family val="2"/>
      <scheme val="minor"/>
    </font>
    <font>
      <sz val="9"/>
      <color rgb="FFFF0000"/>
      <name val="Calibri"/>
      <family val="2"/>
      <scheme val="minor"/>
    </font>
    <font>
      <sz val="9"/>
      <name val="Calibri"/>
      <family val="2"/>
      <scheme val="minor"/>
    </font>
    <font>
      <vertAlign val="subscript"/>
      <sz val="10"/>
      <color theme="1"/>
      <name val="Calibri"/>
      <family val="2"/>
      <scheme val="minor"/>
    </font>
    <font>
      <u/>
      <sz val="10"/>
      <color theme="10"/>
      <name val="Calibri"/>
      <family val="2"/>
      <scheme val="minor"/>
    </font>
    <font>
      <sz val="10"/>
      <name val="Arial"/>
      <family val="2"/>
    </font>
    <font>
      <b/>
      <sz val="11"/>
      <name val="Calibri"/>
      <family val="2"/>
    </font>
    <font>
      <b/>
      <sz val="12"/>
      <color rgb="FF000000"/>
      <name val="Calibri"/>
      <family val="2"/>
    </font>
    <font>
      <sz val="9"/>
      <color theme="1"/>
      <name val="Arial"/>
      <family val="2"/>
    </font>
    <font>
      <vertAlign val="subscript"/>
      <sz val="10"/>
      <color rgb="FF000000"/>
      <name val="Calibri"/>
      <family val="2"/>
    </font>
  </fonts>
  <fills count="7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rgb="FF57626E"/>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20"/>
      </patternFill>
    </fill>
    <fill>
      <patternFill patternType="solid">
        <fgColor theme="6" tint="0.59999389629810485"/>
        <bgColor indexed="64"/>
      </patternFill>
    </fill>
    <fill>
      <patternFill patternType="solid">
        <fgColor rgb="FFF2F2F2"/>
        <bgColor rgb="FF000000"/>
      </patternFill>
    </fill>
    <fill>
      <patternFill patternType="solid">
        <fgColor rgb="FFD9E1F2"/>
        <bgColor rgb="FF000000"/>
      </patternFill>
    </fill>
    <fill>
      <patternFill patternType="solid">
        <fgColor rgb="FFFFFFFF"/>
        <bgColor rgb="FF000000"/>
      </patternFill>
    </fill>
    <fill>
      <patternFill patternType="solid">
        <fgColor theme="0"/>
        <bgColor indexed="64"/>
      </patternFill>
    </fill>
    <fill>
      <patternFill patternType="solid">
        <fgColor theme="6"/>
        <bgColor indexed="64"/>
      </patternFill>
    </fill>
  </fills>
  <borders count="6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indexed="64"/>
      </right>
      <top style="medium">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4"/>
      </left>
      <right/>
      <top style="thin">
        <color indexed="54"/>
      </top>
      <bottom/>
      <diagonal/>
    </border>
    <border>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auto="1"/>
      </top>
      <bottom/>
      <diagonal/>
    </border>
    <border>
      <left style="medium">
        <color auto="1"/>
      </left>
      <right/>
      <top style="medium">
        <color auto="1"/>
      </top>
      <bottom/>
      <diagonal/>
    </border>
    <border>
      <left style="thin">
        <color indexed="64"/>
      </left>
      <right style="thin">
        <color indexed="64"/>
      </right>
      <top style="thin">
        <color indexed="64"/>
      </top>
      <bottom style="thin">
        <color indexed="64"/>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right/>
      <top style="thin">
        <color rgb="FF000000"/>
      </top>
      <bottom style="thin">
        <color rgb="FF000000"/>
      </bottom>
      <diagonal/>
    </border>
    <border>
      <left/>
      <right/>
      <top/>
      <bottom style="thin">
        <color rgb="FF000000"/>
      </bottom>
      <diagonal/>
    </border>
    <border>
      <left style="thin">
        <color rgb="FF000000"/>
      </left>
      <right/>
      <top/>
      <bottom style="thin">
        <color rgb="FF000000"/>
      </bottom>
      <diagonal/>
    </border>
    <border>
      <left style="thin">
        <color rgb="FF000000"/>
      </left>
      <right/>
      <top/>
      <bottom/>
      <diagonal/>
    </border>
    <border>
      <left style="thin">
        <color rgb="FF000000"/>
      </left>
      <right style="thin">
        <color rgb="FF000000"/>
      </right>
      <top/>
      <bottom style="thin">
        <color rgb="FF000000"/>
      </bottom>
      <diagonal/>
    </border>
    <border>
      <left/>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style="medium">
        <color indexed="64"/>
      </top>
      <bottom/>
      <diagonal/>
    </border>
    <border>
      <left style="thin">
        <color indexed="64"/>
      </left>
      <right style="thin">
        <color indexed="64"/>
      </right>
      <top style="thin">
        <color indexed="64"/>
      </top>
      <bottom style="thin">
        <color rgb="FF000000"/>
      </bottom>
      <diagonal/>
    </border>
    <border>
      <left/>
      <right style="thin">
        <color indexed="64"/>
      </right>
      <top style="thin">
        <color indexed="64"/>
      </top>
      <bottom/>
      <diagonal/>
    </border>
    <border>
      <left style="thin">
        <color indexed="64"/>
      </left>
      <right style="thin">
        <color indexed="64"/>
      </right>
      <top style="medium">
        <color indexed="64"/>
      </top>
      <bottom/>
      <diagonal/>
    </border>
    <border>
      <left style="thin">
        <color rgb="FF000000"/>
      </left>
      <right style="thin">
        <color rgb="FF000000"/>
      </right>
      <top style="medium">
        <color indexed="64"/>
      </top>
      <bottom style="thin">
        <color rgb="FF000000"/>
      </bottom>
      <diagonal/>
    </border>
    <border>
      <left style="thin">
        <color indexed="64"/>
      </left>
      <right style="medium">
        <color indexed="64"/>
      </right>
      <top style="medium">
        <color indexed="64"/>
      </top>
      <bottom/>
      <diagonal/>
    </border>
    <border>
      <left style="thin">
        <color rgb="FF000000"/>
      </left>
      <right style="medium">
        <color indexed="64"/>
      </right>
      <top style="thin">
        <color rgb="FF000000"/>
      </top>
      <bottom style="thin">
        <color rgb="FF000000"/>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s>
  <cellStyleXfs count="478">
    <xf numFmtId="0" fontId="0" fillId="0" borderId="0"/>
    <xf numFmtId="44" fontId="1" fillId="0" borderId="0" applyFont="0" applyFill="0" applyBorder="0" applyAlignment="0" applyProtection="0"/>
    <xf numFmtId="0" fontId="5"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6" fillId="0" borderId="0"/>
    <xf numFmtId="0" fontId="9" fillId="0" borderId="0" applyNumberFormat="0" applyFill="0" applyBorder="0" applyAlignment="0" applyProtection="0"/>
    <xf numFmtId="0" fontId="10" fillId="0" borderId="6" applyNumberFormat="0" applyFill="0" applyAlignment="0" applyProtection="0"/>
    <xf numFmtId="0" fontId="11" fillId="0" borderId="7" applyNumberFormat="0" applyFill="0" applyAlignment="0" applyProtection="0"/>
    <xf numFmtId="0" fontId="12" fillId="0" borderId="8" applyNumberFormat="0" applyFill="0" applyAlignment="0" applyProtection="0"/>
    <xf numFmtId="0" fontId="12" fillId="0" borderId="0" applyNumberFormat="0" applyFill="0" applyBorder="0" applyAlignment="0" applyProtection="0"/>
    <xf numFmtId="0" fontId="13" fillId="2" borderId="0" applyNumberFormat="0" applyBorder="0" applyAlignment="0" applyProtection="0"/>
    <xf numFmtId="0" fontId="14" fillId="3" borderId="0" applyNumberFormat="0" applyBorder="0" applyAlignment="0" applyProtection="0"/>
    <xf numFmtId="0" fontId="15" fillId="4" borderId="0" applyNumberFormat="0" applyBorder="0" applyAlignment="0" applyProtection="0"/>
    <xf numFmtId="0" fontId="16" fillId="5" borderId="9" applyNumberFormat="0" applyAlignment="0" applyProtection="0"/>
    <xf numFmtId="0" fontId="17" fillId="6" borderId="10" applyNumberFormat="0" applyAlignment="0" applyProtection="0"/>
    <xf numFmtId="0" fontId="18" fillId="6" borderId="9" applyNumberFormat="0" applyAlignment="0" applyProtection="0"/>
    <xf numFmtId="0" fontId="19" fillId="0" borderId="11" applyNumberFormat="0" applyFill="0" applyAlignment="0" applyProtection="0"/>
    <xf numFmtId="0" fontId="20" fillId="7" borderId="12" applyNumberFormat="0" applyAlignment="0" applyProtection="0"/>
    <xf numFmtId="0" fontId="21" fillId="0" borderId="0" applyNumberFormat="0" applyFill="0" applyBorder="0" applyAlignment="0" applyProtection="0"/>
    <xf numFmtId="0" fontId="1" fillId="8" borderId="13" applyNumberFormat="0" applyFont="0" applyAlignment="0" applyProtection="0"/>
    <xf numFmtId="0" fontId="22" fillId="0" borderId="0" applyNumberFormat="0" applyFill="0" applyBorder="0" applyAlignment="0" applyProtection="0"/>
    <xf numFmtId="0" fontId="2" fillId="0" borderId="14" applyNumberFormat="0" applyFill="0" applyAlignment="0" applyProtection="0"/>
    <xf numFmtId="0" fontId="23"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3" fillId="32" borderId="0" applyNumberFormat="0" applyBorder="0" applyAlignment="0" applyProtection="0"/>
    <xf numFmtId="0" fontId="8" fillId="0" borderId="0"/>
    <xf numFmtId="0" fontId="24" fillId="0" borderId="0"/>
    <xf numFmtId="0" fontId="8"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4" fillId="0" borderId="0" applyFont="0" applyFill="0" applyBorder="0" applyAlignment="0" applyProtection="0"/>
    <xf numFmtId="44" fontId="8"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3"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3"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8" fillId="0" borderId="0"/>
    <xf numFmtId="0" fontId="24" fillId="0" borderId="0"/>
    <xf numFmtId="0" fontId="25" fillId="0" borderId="0"/>
    <xf numFmtId="0" fontId="24" fillId="0" borderId="0"/>
    <xf numFmtId="0" fontId="24" fillId="0" borderId="0"/>
    <xf numFmtId="0" fontId="25" fillId="0" borderId="0"/>
    <xf numFmtId="0" fontId="25" fillId="0" borderId="0"/>
    <xf numFmtId="0" fontId="25" fillId="0" borderId="0"/>
    <xf numFmtId="0" fontId="8" fillId="0" borderId="0"/>
    <xf numFmtId="0" fontId="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 fillId="0" borderId="0"/>
    <xf numFmtId="0" fontId="24" fillId="0" borderId="0"/>
    <xf numFmtId="0" fontId="8" fillId="0" borderId="0"/>
    <xf numFmtId="0" fontId="24" fillId="0" borderId="0"/>
    <xf numFmtId="0" fontId="8" fillId="0" borderId="0"/>
    <xf numFmtId="0" fontId="24" fillId="0" borderId="0"/>
    <xf numFmtId="0" fontId="25" fillId="0" borderId="0"/>
    <xf numFmtId="0" fontId="8" fillId="0" borderId="0"/>
    <xf numFmtId="0" fontId="1" fillId="0" borderId="0"/>
    <xf numFmtId="0" fontId="8" fillId="0" borderId="0"/>
    <xf numFmtId="0" fontId="8" fillId="0" borderId="0"/>
    <xf numFmtId="0" fontId="8" fillId="0" borderId="0"/>
    <xf numFmtId="0" fontId="25" fillId="0" borderId="0"/>
    <xf numFmtId="0" fontId="8" fillId="0" borderId="0"/>
    <xf numFmtId="0" fontId="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3" fillId="0" borderId="0" applyFont="0" applyFill="0" applyBorder="0" applyAlignment="0" applyProtection="0"/>
    <xf numFmtId="173" fontId="47" fillId="0" borderId="0">
      <alignment horizontal="center" vertical="center"/>
    </xf>
    <xf numFmtId="0" fontId="9" fillId="0" borderId="0" applyNumberFormat="0" applyFill="0" applyBorder="0" applyAlignment="0" applyProtection="0"/>
    <xf numFmtId="0" fontId="46" fillId="0" borderId="0">
      <alignment horizontal="left"/>
    </xf>
    <xf numFmtId="0" fontId="45" fillId="0" borderId="0" applyNumberFormat="0" applyFill="0" applyBorder="0" applyAlignment="0" applyProtection="0"/>
    <xf numFmtId="4" fontId="28" fillId="61" borderId="18" applyNumberFormat="0" applyProtection="0">
      <alignment horizontal="right" vertical="center"/>
    </xf>
    <xf numFmtId="0" fontId="33" fillId="67" borderId="4"/>
    <xf numFmtId="4" fontId="44" fillId="66" borderId="0" applyNumberFormat="0" applyProtection="0">
      <alignment horizontal="left" vertical="center" indent="1"/>
    </xf>
    <xf numFmtId="0" fontId="40" fillId="50" borderId="18" applyNumberFormat="0" applyProtection="0">
      <alignment horizontal="left" vertical="top" indent="1"/>
    </xf>
    <xf numFmtId="4" fontId="40" fillId="50" borderId="18" applyNumberFormat="0" applyProtection="0">
      <alignment horizontal="left" vertical="center" indent="1"/>
    </xf>
    <xf numFmtId="4" fontId="43" fillId="61" borderId="18" applyNumberFormat="0" applyProtection="0">
      <alignment horizontal="right" vertical="center"/>
    </xf>
    <xf numFmtId="4" fontId="40" fillId="61" borderId="18" applyNumberFormat="0" applyProtection="0">
      <alignment horizontal="right" vertical="center"/>
    </xf>
    <xf numFmtId="0" fontId="40" fillId="65" borderId="18" applyNumberFormat="0" applyProtection="0">
      <alignment horizontal="left" vertical="top" indent="1"/>
    </xf>
    <xf numFmtId="4" fontId="40" fillId="65" borderId="18" applyNumberFormat="0" applyProtection="0">
      <alignment horizontal="left" vertical="center" indent="1"/>
    </xf>
    <xf numFmtId="4" fontId="43" fillId="65" borderId="18" applyNumberFormat="0" applyProtection="0">
      <alignment vertical="center"/>
    </xf>
    <xf numFmtId="4" fontId="40" fillId="65" borderId="18" applyNumberFormat="0" applyProtection="0">
      <alignment vertical="center"/>
    </xf>
    <xf numFmtId="0" fontId="42" fillId="62" borderId="20" applyBorder="0"/>
    <xf numFmtId="0" fontId="8" fillId="64" borderId="4" applyNumberFormat="0">
      <protection locked="0"/>
    </xf>
    <xf numFmtId="0" fontId="8" fillId="61" borderId="18" applyNumberFormat="0" applyProtection="0">
      <alignment horizontal="left" vertical="top" indent="1"/>
    </xf>
    <xf numFmtId="0" fontId="8" fillId="61" borderId="18" applyNumberFormat="0" applyProtection="0">
      <alignment horizontal="left" vertical="center" indent="1"/>
    </xf>
    <xf numFmtId="0" fontId="8" fillId="63" borderId="18" applyNumberFormat="0" applyProtection="0">
      <alignment horizontal="left" vertical="top" indent="1"/>
    </xf>
    <xf numFmtId="0" fontId="8" fillId="63" borderId="18" applyNumberFormat="0" applyProtection="0">
      <alignment horizontal="left" vertical="center" indent="1"/>
    </xf>
    <xf numFmtId="0" fontId="8" fillId="50" borderId="18" applyNumberFormat="0" applyProtection="0">
      <alignment horizontal="left" vertical="top" indent="1"/>
    </xf>
    <xf numFmtId="0" fontId="8" fillId="50" borderId="18" applyNumberFormat="0" applyProtection="0">
      <alignment horizontal="left" vertical="center" indent="1"/>
    </xf>
    <xf numFmtId="0" fontId="8" fillId="62" borderId="18" applyNumberFormat="0" applyProtection="0">
      <alignment horizontal="left" vertical="top" indent="1"/>
    </xf>
    <xf numFmtId="0" fontId="8" fillId="62" borderId="18" applyNumberFormat="0" applyProtection="0">
      <alignment horizontal="left" vertical="center" indent="1"/>
    </xf>
    <xf numFmtId="4" fontId="40" fillId="50" borderId="0" applyNumberFormat="0" applyProtection="0">
      <alignment horizontal="left" vertical="center" indent="1"/>
    </xf>
    <xf numFmtId="4" fontId="40" fillId="61" borderId="0" applyNumberFormat="0" applyProtection="0">
      <alignment horizontal="left" vertical="center" indent="1"/>
    </xf>
    <xf numFmtId="4" fontId="40" fillId="50" borderId="18" applyNumberFormat="0" applyProtection="0">
      <alignment horizontal="right" vertical="center"/>
    </xf>
    <xf numFmtId="4" fontId="41" fillId="62" borderId="0" applyNumberFormat="0" applyProtection="0">
      <alignment horizontal="left" vertical="center" indent="1"/>
    </xf>
    <xf numFmtId="4" fontId="40" fillId="61" borderId="0" applyNumberFormat="0" applyProtection="0">
      <alignment horizontal="left" vertical="center" indent="1"/>
    </xf>
    <xf numFmtId="4" fontId="38" fillId="60" borderId="19" applyNumberFormat="0" applyProtection="0">
      <alignment horizontal="left" vertical="center" indent="1"/>
    </xf>
    <xf numFmtId="4" fontId="40" fillId="59" borderId="18" applyNumberFormat="0" applyProtection="0">
      <alignment horizontal="right" vertical="center"/>
    </xf>
    <xf numFmtId="4" fontId="40" fillId="58" borderId="18" applyNumberFormat="0" applyProtection="0">
      <alignment horizontal="right" vertical="center"/>
    </xf>
    <xf numFmtId="4" fontId="40" fillId="57" borderId="18" applyNumberFormat="0" applyProtection="0">
      <alignment horizontal="right" vertical="center"/>
    </xf>
    <xf numFmtId="4" fontId="40" fillId="56" borderId="18" applyNumberFormat="0" applyProtection="0">
      <alignment horizontal="right" vertical="center"/>
    </xf>
    <xf numFmtId="4" fontId="40" fillId="55" borderId="18" applyNumberFormat="0" applyProtection="0">
      <alignment horizontal="right" vertical="center"/>
    </xf>
    <xf numFmtId="4" fontId="40" fillId="54" borderId="18" applyNumberFormat="0" applyProtection="0">
      <alignment horizontal="right" vertical="center"/>
    </xf>
    <xf numFmtId="4" fontId="40" fillId="53" borderId="18" applyNumberFormat="0" applyProtection="0">
      <alignment horizontal="right" vertical="center"/>
    </xf>
    <xf numFmtId="4" fontId="40" fillId="52" borderId="18" applyNumberFormat="0" applyProtection="0">
      <alignment horizontal="right" vertical="center"/>
    </xf>
    <xf numFmtId="4" fontId="40" fillId="51" borderId="18" applyNumberFormat="0" applyProtection="0">
      <alignment horizontal="right" vertical="center"/>
    </xf>
    <xf numFmtId="4" fontId="38" fillId="50" borderId="0" applyNumberFormat="0" applyProtection="0">
      <alignment horizontal="left" vertical="center" indent="1"/>
    </xf>
    <xf numFmtId="0" fontId="38" fillId="49" borderId="18" applyNumberFormat="0" applyProtection="0">
      <alignment horizontal="left" vertical="top" indent="1"/>
    </xf>
    <xf numFmtId="4" fontId="38" fillId="49" borderId="18" applyNumberFormat="0" applyProtection="0">
      <alignment horizontal="left" vertical="center" indent="1"/>
    </xf>
    <xf numFmtId="4" fontId="39" fillId="49" borderId="18" applyNumberFormat="0" applyProtection="0">
      <alignment vertical="center"/>
    </xf>
    <xf numFmtId="4" fontId="38" fillId="49" borderId="18" applyNumberFormat="0" applyProtection="0">
      <alignment vertical="center"/>
    </xf>
    <xf numFmtId="9" fontId="8"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8" fillId="0" borderId="0" applyFont="0" applyFill="0" applyBorder="0" applyAlignment="0" applyProtection="0"/>
    <xf numFmtId="43" fontId="8" fillId="0" borderId="0" applyFont="0" applyFill="0" applyBorder="0" applyAlignment="0" applyProtection="0"/>
    <xf numFmtId="0" fontId="36" fillId="0" borderId="0" applyNumberFormat="0" applyFill="0" applyBorder="0" applyAlignment="0" applyProtection="0">
      <alignment vertical="top"/>
      <protection locked="0"/>
    </xf>
    <xf numFmtId="0" fontId="5" fillId="0" borderId="0" applyNumberFormat="0" applyFill="0" applyBorder="0" applyAlignment="0" applyProtection="0"/>
    <xf numFmtId="170" fontId="35" fillId="0" borderId="0">
      <protection locked="0"/>
    </xf>
    <xf numFmtId="170" fontId="35" fillId="0" borderId="0">
      <protection locked="0"/>
    </xf>
    <xf numFmtId="172" fontId="29" fillId="0" borderId="0">
      <protection locked="0"/>
    </xf>
    <xf numFmtId="0" fontId="34" fillId="48" borderId="0" applyNumberFormat="0" applyBorder="0" applyAlignment="0" applyProtection="0"/>
    <xf numFmtId="0" fontId="34" fillId="47" borderId="0" applyNumberFormat="0" applyBorder="0" applyAlignment="0" applyProtection="0"/>
    <xf numFmtId="0" fontId="34" fillId="46" borderId="0" applyNumberFormat="0" applyBorder="0" applyAlignment="0" applyProtection="0"/>
    <xf numFmtId="171" fontId="29" fillId="0" borderId="0">
      <protection locked="0"/>
    </xf>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0" fontId="32" fillId="45" borderId="0" applyNumberFormat="0" applyBorder="0" applyAlignment="0" applyProtection="0"/>
    <xf numFmtId="0" fontId="31" fillId="39" borderId="0" applyNumberFormat="0" applyBorder="0" applyAlignment="0" applyProtection="0"/>
    <xf numFmtId="0" fontId="31" fillId="44" borderId="0" applyNumberFormat="0" applyBorder="0" applyAlignment="0" applyProtection="0"/>
    <xf numFmtId="0" fontId="32" fillId="36"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2" fillId="43" borderId="0" applyNumberFormat="0" applyBorder="0" applyAlignment="0" applyProtection="0"/>
    <xf numFmtId="0" fontId="31" fillId="43" borderId="0" applyNumberFormat="0" applyBorder="0" applyAlignment="0" applyProtection="0"/>
    <xf numFmtId="0" fontId="31" fillId="42" borderId="0" applyNumberFormat="0" applyBorder="0" applyAlignment="0" applyProtection="0"/>
    <xf numFmtId="0" fontId="32" fillId="43"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32" fillId="40" borderId="0" applyNumberFormat="0" applyBorder="0" applyAlignment="0" applyProtection="0"/>
    <xf numFmtId="0" fontId="31" fillId="39" borderId="0" applyNumberFormat="0" applyBorder="0" applyAlignment="0" applyProtection="0"/>
    <xf numFmtId="0" fontId="31" fillId="38" borderId="0" applyNumberFormat="0" applyBorder="0" applyAlignment="0" applyProtection="0"/>
    <xf numFmtId="0" fontId="32" fillId="37" borderId="0" applyNumberFormat="0" applyBorder="0" applyAlignment="0" applyProtection="0"/>
    <xf numFmtId="0" fontId="31" fillId="36" borderId="0" applyNumberFormat="0" applyBorder="0" applyAlignment="0" applyProtection="0"/>
    <xf numFmtId="0" fontId="31" fillId="35" borderId="0" applyNumberFormat="0" applyBorder="0" applyAlignment="0" applyProtection="0"/>
    <xf numFmtId="0" fontId="30" fillId="34" borderId="0" applyProtection="0">
      <alignment vertical="center"/>
    </xf>
    <xf numFmtId="170" fontId="29" fillId="0" borderId="0">
      <protection locked="0"/>
    </xf>
    <xf numFmtId="178" fontId="8" fillId="0" borderId="0" applyFill="0" applyBorder="0" applyAlignment="0" applyProtection="0"/>
    <xf numFmtId="0" fontId="70" fillId="0" borderId="0"/>
  </cellStyleXfs>
  <cellXfs count="445">
    <xf numFmtId="0" fontId="0" fillId="0" borderId="0" xfId="0"/>
    <xf numFmtId="0" fontId="3" fillId="0" borderId="0" xfId="0" applyFont="1"/>
    <xf numFmtId="9" fontId="3" fillId="0" borderId="0" xfId="0" applyNumberFormat="1" applyFont="1"/>
    <xf numFmtId="44" fontId="3" fillId="0" borderId="0" xfId="1" applyFont="1"/>
    <xf numFmtId="44" fontId="0" fillId="0" borderId="0" xfId="1" applyFont="1" applyBorder="1"/>
    <xf numFmtId="0" fontId="2" fillId="0" borderId="0" xfId="0" applyFont="1"/>
    <xf numFmtId="166" fontId="0" fillId="0" borderId="0" xfId="3" applyNumberFormat="1" applyFont="1"/>
    <xf numFmtId="9" fontId="0" fillId="0" borderId="0" xfId="0" applyNumberFormat="1"/>
    <xf numFmtId="0" fontId="6" fillId="0" borderId="0" xfId="5"/>
    <xf numFmtId="0" fontId="0" fillId="0" borderId="0" xfId="0" applyAlignment="1">
      <alignment horizontal="center"/>
    </xf>
    <xf numFmtId="164" fontId="3" fillId="0" borderId="0" xfId="0" applyNumberFormat="1" applyFont="1"/>
    <xf numFmtId="0" fontId="7" fillId="0" borderId="0" xfId="2" applyFont="1" applyFill="1" applyAlignment="1" applyProtection="1"/>
    <xf numFmtId="0" fontId="27" fillId="0" borderId="0" xfId="0" applyFont="1"/>
    <xf numFmtId="0" fontId="4" fillId="0" borderId="0" xfId="0" applyFont="1"/>
    <xf numFmtId="164" fontId="3" fillId="0" borderId="0" xfId="1" applyNumberFormat="1" applyFont="1" applyFill="1" applyBorder="1"/>
    <xf numFmtId="164" fontId="3" fillId="0" borderId="0" xfId="1" applyNumberFormat="1" applyFont="1" applyBorder="1"/>
    <xf numFmtId="0" fontId="26" fillId="0" borderId="0" xfId="0" applyFont="1" applyAlignment="1">
      <alignment horizontal="center"/>
    </xf>
    <xf numFmtId="0" fontId="8" fillId="0" borderId="0" xfId="0" applyFont="1"/>
    <xf numFmtId="6" fontId="4" fillId="0" borderId="0" xfId="0" applyNumberFormat="1" applyFont="1" applyAlignment="1">
      <alignment horizontal="center"/>
    </xf>
    <xf numFmtId="0" fontId="3" fillId="0" borderId="0" xfId="0" applyFont="1" applyAlignment="1">
      <alignment vertical="top" wrapText="1"/>
    </xf>
    <xf numFmtId="0" fontId="3" fillId="0" borderId="0" xfId="0" applyFont="1" applyAlignment="1">
      <alignment horizontal="right" vertical="top" wrapText="1"/>
    </xf>
    <xf numFmtId="0" fontId="3" fillId="0" borderId="15" xfId="0" applyFont="1" applyBorder="1" applyAlignment="1">
      <alignment horizontal="right" vertical="top" wrapText="1"/>
    </xf>
    <xf numFmtId="0" fontId="3" fillId="0" borderId="0" xfId="0" applyFont="1" applyAlignment="1">
      <alignment wrapText="1"/>
    </xf>
    <xf numFmtId="0" fontId="3" fillId="0" borderId="15" xfId="0" applyFont="1" applyBorder="1" applyAlignment="1">
      <alignment horizontal="center" wrapText="1"/>
    </xf>
    <xf numFmtId="0" fontId="3" fillId="0" borderId="0" xfId="0" applyFont="1" applyAlignment="1">
      <alignment vertical="top"/>
    </xf>
    <xf numFmtId="44" fontId="3" fillId="0" borderId="0" xfId="0" applyNumberFormat="1" applyFont="1"/>
    <xf numFmtId="0" fontId="48" fillId="0" borderId="0" xfId="0" applyFont="1" applyAlignment="1">
      <alignment vertical="center"/>
    </xf>
    <xf numFmtId="0" fontId="2" fillId="0" borderId="0" xfId="0" applyFont="1" applyAlignment="1">
      <alignment horizontal="left"/>
    </xf>
    <xf numFmtId="166" fontId="0" fillId="0" borderId="0" xfId="0" applyNumberFormat="1"/>
    <xf numFmtId="0" fontId="49" fillId="0" borderId="21" xfId="0" applyFont="1" applyBorder="1" applyAlignment="1">
      <alignment horizontal="center" vertical="center" wrapText="1"/>
    </xf>
    <xf numFmtId="0" fontId="48" fillId="0" borderId="0" xfId="0" applyFont="1"/>
    <xf numFmtId="43" fontId="0" fillId="0" borderId="0" xfId="0" applyNumberFormat="1"/>
    <xf numFmtId="169" fontId="0" fillId="0" borderId="0" xfId="0" applyNumberFormat="1"/>
    <xf numFmtId="44" fontId="48" fillId="0" borderId="0" xfId="1" applyFont="1"/>
    <xf numFmtId="0" fontId="0" fillId="0" borderId="0" xfId="0" applyAlignment="1">
      <alignment vertical="center"/>
    </xf>
    <xf numFmtId="0" fontId="0" fillId="0" borderId="0" xfId="0" applyAlignment="1">
      <alignment wrapText="1"/>
    </xf>
    <xf numFmtId="9" fontId="3" fillId="0" borderId="0" xfId="4" applyFont="1"/>
    <xf numFmtId="3" fontId="0" fillId="0" borderId="0" xfId="0" applyNumberFormat="1"/>
    <xf numFmtId="2" fontId="0" fillId="0" borderId="0" xfId="0" applyNumberFormat="1"/>
    <xf numFmtId="0" fontId="49" fillId="0" borderId="0" xfId="0" applyFont="1"/>
    <xf numFmtId="10" fontId="48" fillId="0" borderId="0" xfId="4" applyNumberFormat="1" applyFont="1"/>
    <xf numFmtId="166" fontId="48" fillId="0" borderId="0" xfId="3" applyNumberFormat="1" applyFont="1"/>
    <xf numFmtId="0" fontId="2" fillId="0" borderId="0" xfId="0" applyFont="1" applyAlignment="1">
      <alignment horizontal="center"/>
    </xf>
    <xf numFmtId="0" fontId="0" fillId="0" borderId="25" xfId="0" applyBorder="1"/>
    <xf numFmtId="0" fontId="0" fillId="0" borderId="24" xfId="0" applyBorder="1"/>
    <xf numFmtId="164" fontId="0" fillId="0" borderId="0" xfId="0" applyNumberFormat="1"/>
    <xf numFmtId="164" fontId="4" fillId="0" borderId="0" xfId="1" applyNumberFormat="1" applyFont="1" applyBorder="1"/>
    <xf numFmtId="168" fontId="0" fillId="0" borderId="0" xfId="0" applyNumberFormat="1"/>
    <xf numFmtId="169" fontId="2" fillId="0" borderId="0" xfId="0" applyNumberFormat="1" applyFont="1"/>
    <xf numFmtId="0" fontId="3" fillId="0" borderId="31" xfId="0" applyFont="1" applyBorder="1"/>
    <xf numFmtId="0" fontId="0" fillId="0" borderId="31" xfId="0" applyBorder="1"/>
    <xf numFmtId="0" fontId="2" fillId="0" borderId="31" xfId="0" applyFont="1" applyBorder="1"/>
    <xf numFmtId="0" fontId="2" fillId="0" borderId="31" xfId="0" applyFont="1" applyBorder="1" applyAlignment="1">
      <alignment horizontal="center"/>
    </xf>
    <xf numFmtId="0" fontId="2" fillId="0" borderId="31" xfId="0" applyFont="1" applyBorder="1" applyAlignment="1">
      <alignment horizontal="center" vertical="center" wrapText="1"/>
    </xf>
    <xf numFmtId="3" fontId="2" fillId="0" borderId="31" xfId="0" applyNumberFormat="1" applyFont="1" applyBorder="1" applyAlignment="1">
      <alignment horizontal="center" vertical="center" wrapText="1"/>
    </xf>
    <xf numFmtId="166" fontId="2" fillId="0" borderId="31" xfId="3" applyNumberFormat="1" applyFont="1" applyBorder="1"/>
    <xf numFmtId="169" fontId="2" fillId="0" borderId="31" xfId="3" applyNumberFormat="1" applyFont="1" applyBorder="1"/>
    <xf numFmtId="0" fontId="3" fillId="0" borderId="31" xfId="0" applyFont="1" applyBorder="1" applyAlignment="1">
      <alignment vertical="top" wrapText="1"/>
    </xf>
    <xf numFmtId="10" fontId="0" fillId="0" borderId="0" xfId="0" applyNumberFormat="1"/>
    <xf numFmtId="0" fontId="56" fillId="0" borderId="0" xfId="0" applyFont="1" applyAlignment="1">
      <alignment horizontal="center" vertical="center" wrapText="1"/>
    </xf>
    <xf numFmtId="0" fontId="57" fillId="0" borderId="0" xfId="0" applyFont="1"/>
    <xf numFmtId="0" fontId="56" fillId="0" borderId="32" xfId="0" applyFont="1" applyBorder="1" applyAlignment="1">
      <alignment horizontal="center" vertical="center" wrapText="1"/>
    </xf>
    <xf numFmtId="0" fontId="56" fillId="0" borderId="33" xfId="0" applyFont="1" applyBorder="1" applyAlignment="1">
      <alignment horizontal="center" vertical="center" wrapText="1"/>
    </xf>
    <xf numFmtId="0" fontId="56" fillId="0" borderId="34" xfId="0" applyFont="1" applyBorder="1" applyAlignment="1">
      <alignment horizontal="center" vertical="center" wrapText="1"/>
    </xf>
    <xf numFmtId="0" fontId="56" fillId="0" borderId="36" xfId="0" applyFont="1" applyBorder="1" applyAlignment="1">
      <alignment horizontal="center" vertical="center" wrapText="1"/>
    </xf>
    <xf numFmtId="0" fontId="56" fillId="0" borderId="38" xfId="0" applyFont="1" applyBorder="1" applyAlignment="1">
      <alignment horizontal="center" vertical="center" wrapText="1"/>
    </xf>
    <xf numFmtId="0" fontId="56" fillId="0" borderId="37" xfId="0" applyFont="1" applyBorder="1" applyAlignment="1">
      <alignment horizontal="center" vertical="center" wrapText="1"/>
    </xf>
    <xf numFmtId="0" fontId="56" fillId="0" borderId="39" xfId="0" applyFont="1" applyBorder="1" applyAlignment="1">
      <alignment horizontal="center" vertical="center" wrapText="1"/>
    </xf>
    <xf numFmtId="0" fontId="21" fillId="0" borderId="0" xfId="0" applyFont="1"/>
    <xf numFmtId="0" fontId="54" fillId="0" borderId="0" xfId="0" applyFont="1"/>
    <xf numFmtId="9" fontId="0" fillId="0" borderId="0" xfId="4" applyFont="1"/>
    <xf numFmtId="0" fontId="49" fillId="0" borderId="31" xfId="0" applyFont="1" applyBorder="1" applyAlignment="1">
      <alignment horizontal="center" vertical="center" wrapText="1"/>
    </xf>
    <xf numFmtId="169" fontId="0" fillId="0" borderId="31" xfId="1" applyNumberFormat="1" applyFont="1" applyBorder="1"/>
    <xf numFmtId="169" fontId="2" fillId="0" borderId="31" xfId="1" applyNumberFormat="1" applyFont="1" applyBorder="1"/>
    <xf numFmtId="0" fontId="2" fillId="0" borderId="0" xfId="0" applyFont="1" applyAlignment="1">
      <alignment horizontal="right"/>
    </xf>
    <xf numFmtId="0" fontId="58" fillId="0" borderId="0" xfId="0" applyFont="1"/>
    <xf numFmtId="0" fontId="57" fillId="0" borderId="31" xfId="0" applyFont="1" applyBorder="1" applyAlignment="1">
      <alignment horizontal="center" vertical="center"/>
    </xf>
    <xf numFmtId="0" fontId="48" fillId="69" borderId="31" xfId="0" applyFont="1" applyFill="1" applyBorder="1" applyAlignment="1">
      <alignment horizontal="center" wrapText="1"/>
    </xf>
    <xf numFmtId="0" fontId="57" fillId="70" borderId="31" xfId="0" applyFont="1" applyFill="1" applyBorder="1" applyAlignment="1">
      <alignment horizontal="center" vertical="center"/>
    </xf>
    <xf numFmtId="0" fontId="57" fillId="70" borderId="31" xfId="0" applyFont="1" applyFill="1" applyBorder="1"/>
    <xf numFmtId="0" fontId="57" fillId="71" borderId="31" xfId="0" applyFont="1" applyFill="1" applyBorder="1"/>
    <xf numFmtId="0" fontId="57" fillId="0" borderId="31" xfId="0" applyFont="1" applyBorder="1"/>
    <xf numFmtId="0" fontId="57" fillId="69" borderId="31" xfId="0" applyFont="1" applyFill="1" applyBorder="1" applyAlignment="1">
      <alignment horizontal="center" wrapText="1"/>
    </xf>
    <xf numFmtId="3" fontId="57" fillId="70" borderId="31" xfId="0" applyNumberFormat="1" applyFont="1" applyFill="1" applyBorder="1"/>
    <xf numFmtId="3" fontId="57" fillId="71" borderId="31" xfId="0" applyNumberFormat="1" applyFont="1" applyFill="1" applyBorder="1"/>
    <xf numFmtId="3" fontId="57" fillId="0" borderId="31" xfId="0" applyNumberFormat="1" applyFont="1" applyBorder="1"/>
    <xf numFmtId="0" fontId="57" fillId="0" borderId="31" xfId="0" applyFont="1" applyBorder="1" applyAlignment="1">
      <alignment horizontal="center"/>
    </xf>
    <xf numFmtId="3" fontId="57" fillId="0" borderId="0" xfId="0" applyNumberFormat="1" applyFont="1" applyAlignment="1">
      <alignment vertical="center"/>
    </xf>
    <xf numFmtId="0" fontId="57" fillId="0" borderId="0" xfId="0" applyFont="1" applyAlignment="1">
      <alignment vertical="center"/>
    </xf>
    <xf numFmtId="0" fontId="0" fillId="0" borderId="31" xfId="0" applyBorder="1" applyAlignment="1">
      <alignment horizontal="left" vertical="center" wrapText="1"/>
    </xf>
    <xf numFmtId="0" fontId="0" fillId="0" borderId="31" xfId="0" applyBorder="1" applyAlignment="1">
      <alignment horizontal="left" vertical="center"/>
    </xf>
    <xf numFmtId="0" fontId="49" fillId="0" borderId="31" xfId="0" applyFont="1" applyBorder="1" applyAlignment="1">
      <alignment horizontal="center" vertical="center"/>
    </xf>
    <xf numFmtId="0" fontId="2" fillId="0" borderId="31" xfId="0" applyFont="1" applyBorder="1" applyAlignment="1">
      <alignment vertical="center" wrapText="1"/>
    </xf>
    <xf numFmtId="167" fontId="2" fillId="0" borderId="31" xfId="3" applyNumberFormat="1" applyFont="1" applyBorder="1" applyAlignment="1">
      <alignment horizontal="center" vertical="center" wrapText="1"/>
    </xf>
    <xf numFmtId="169" fontId="49" fillId="0" borderId="31" xfId="1" applyNumberFormat="1" applyFont="1" applyBorder="1"/>
    <xf numFmtId="169" fontId="2" fillId="0" borderId="31" xfId="0" applyNumberFormat="1" applyFont="1" applyBorder="1"/>
    <xf numFmtId="169" fontId="0" fillId="0" borderId="31" xfId="3" applyNumberFormat="1" applyFont="1" applyBorder="1"/>
    <xf numFmtId="166" fontId="0" fillId="0" borderId="31" xfId="3" applyNumberFormat="1" applyFont="1" applyBorder="1"/>
    <xf numFmtId="0" fontId="52" fillId="0" borderId="0" xfId="0" applyFont="1"/>
    <xf numFmtId="0" fontId="53" fillId="0" borderId="31" xfId="0" applyFont="1" applyBorder="1" applyAlignment="1">
      <alignment horizontal="center" vertical="center"/>
    </xf>
    <xf numFmtId="0" fontId="52" fillId="0" borderId="31" xfId="0" applyFont="1" applyBorder="1"/>
    <xf numFmtId="0" fontId="48" fillId="0" borderId="0" xfId="0" applyFont="1" applyAlignment="1">
      <alignment wrapText="1"/>
    </xf>
    <xf numFmtId="175" fontId="48" fillId="0" borderId="31" xfId="0" applyNumberFormat="1" applyFont="1" applyBorder="1" applyAlignment="1">
      <alignment horizontal="center" vertical="center" wrapText="1"/>
    </xf>
    <xf numFmtId="0" fontId="49" fillId="0" borderId="31" xfId="0" applyFont="1" applyBorder="1" applyAlignment="1">
      <alignment vertical="center" wrapText="1"/>
    </xf>
    <xf numFmtId="175" fontId="48" fillId="0" borderId="31" xfId="0" applyNumberFormat="1" applyFont="1" applyBorder="1" applyAlignment="1">
      <alignment vertical="center" wrapText="1"/>
    </xf>
    <xf numFmtId="175" fontId="48" fillId="0" borderId="31" xfId="0" applyNumberFormat="1" applyFont="1" applyBorder="1" applyAlignment="1">
      <alignment horizontal="right" vertical="center" wrapText="1"/>
    </xf>
    <xf numFmtId="0" fontId="48" fillId="0" borderId="31" xfId="0" applyFont="1" applyBorder="1" applyAlignment="1">
      <alignment vertical="center" wrapText="1"/>
    </xf>
    <xf numFmtId="2" fontId="49" fillId="0" borderId="31" xfId="0" applyNumberFormat="1" applyFont="1" applyBorder="1" applyAlignment="1">
      <alignment horizontal="center" vertical="center" wrapText="1"/>
    </xf>
    <xf numFmtId="175" fontId="48" fillId="0" borderId="31" xfId="0" applyNumberFormat="1" applyFont="1" applyBorder="1" applyAlignment="1">
      <alignment horizontal="center" vertical="center"/>
    </xf>
    <xf numFmtId="3" fontId="0" fillId="0" borderId="31" xfId="1" applyNumberFormat="1" applyFont="1" applyBorder="1"/>
    <xf numFmtId="0" fontId="0" fillId="0" borderId="31" xfId="0" applyBorder="1" applyAlignment="1">
      <alignment horizontal="center"/>
    </xf>
    <xf numFmtId="169" fontId="0" fillId="0" borderId="31" xfId="0" applyNumberFormat="1" applyBorder="1"/>
    <xf numFmtId="0" fontId="52" fillId="0" borderId="31" xfId="0" applyFont="1" applyBorder="1" applyAlignment="1">
      <alignment horizontal="left" vertical="center"/>
    </xf>
    <xf numFmtId="44" fontId="53" fillId="0" borderId="31" xfId="1" applyFont="1" applyFill="1" applyBorder="1" applyAlignment="1">
      <alignment horizontal="center" vertical="center"/>
    </xf>
    <xf numFmtId="0" fontId="55" fillId="0" borderId="31" xfId="0" applyFont="1" applyBorder="1" applyAlignment="1">
      <alignment vertical="center" wrapText="1"/>
    </xf>
    <xf numFmtId="0" fontId="5" fillId="0" borderId="0" xfId="2" applyAlignment="1"/>
    <xf numFmtId="165" fontId="0" fillId="0" borderId="0" xfId="0" applyNumberFormat="1"/>
    <xf numFmtId="1" fontId="0" fillId="0" borderId="0" xfId="0" applyNumberFormat="1"/>
    <xf numFmtId="0" fontId="5" fillId="0" borderId="0" xfId="2"/>
    <xf numFmtId="0" fontId="0" fillId="0" borderId="0" xfId="0" applyAlignment="1">
      <alignment horizontal="center" vertical="center"/>
    </xf>
    <xf numFmtId="3" fontId="57" fillId="0" borderId="0" xfId="0" applyNumberFormat="1" applyFont="1"/>
    <xf numFmtId="166" fontId="57" fillId="0" borderId="31" xfId="3" applyNumberFormat="1" applyFont="1" applyBorder="1"/>
    <xf numFmtId="0" fontId="2" fillId="0" borderId="0" xfId="0" applyFont="1" applyAlignment="1">
      <alignment vertical="center"/>
    </xf>
    <xf numFmtId="0" fontId="2" fillId="0" borderId="0" xfId="0" applyFont="1" applyAlignment="1">
      <alignment vertical="center" wrapText="1"/>
    </xf>
    <xf numFmtId="164" fontId="0" fillId="0" borderId="0" xfId="1" applyNumberFormat="1" applyFont="1"/>
    <xf numFmtId="0" fontId="2" fillId="0" borderId="31" xfId="0" applyFont="1" applyBorder="1" applyAlignment="1">
      <alignment horizontal="center" vertical="center"/>
    </xf>
    <xf numFmtId="1" fontId="0" fillId="0" borderId="31" xfId="0" applyNumberFormat="1" applyBorder="1"/>
    <xf numFmtId="164" fontId="48" fillId="0" borderId="31" xfId="0" applyNumberFormat="1" applyFont="1" applyBorder="1"/>
    <xf numFmtId="164" fontId="0" fillId="0" borderId="31" xfId="0" applyNumberFormat="1" applyBorder="1"/>
    <xf numFmtId="0" fontId="2" fillId="0" borderId="31" xfId="0" applyFont="1" applyBorder="1" applyAlignment="1">
      <alignment horizontal="right"/>
    </xf>
    <xf numFmtId="164" fontId="2" fillId="0" borderId="31" xfId="0" applyNumberFormat="1" applyFont="1" applyBorder="1"/>
    <xf numFmtId="3" fontId="0" fillId="0" borderId="31" xfId="0" applyNumberFormat="1" applyBorder="1"/>
    <xf numFmtId="6" fontId="0" fillId="0" borderId="0" xfId="0" applyNumberFormat="1"/>
    <xf numFmtId="0" fontId="0" fillId="0" borderId="31" xfId="0" applyBorder="1" applyAlignment="1">
      <alignment vertical="center" wrapText="1"/>
    </xf>
    <xf numFmtId="169" fontId="2" fillId="0" borderId="31" xfId="0" applyNumberFormat="1" applyFont="1" applyBorder="1" applyAlignment="1">
      <alignment horizontal="center" vertical="center" wrapText="1"/>
    </xf>
    <xf numFmtId="0" fontId="0" fillId="0" borderId="0" xfId="0" applyAlignment="1">
      <alignment horizontal="center" vertical="center" wrapText="1"/>
    </xf>
    <xf numFmtId="6" fontId="2" fillId="0" borderId="0" xfId="1" applyNumberFormat="1" applyFont="1"/>
    <xf numFmtId="0" fontId="20" fillId="73" borderId="0" xfId="0" applyFont="1" applyFill="1"/>
    <xf numFmtId="0" fontId="63" fillId="0" borderId="0" xfId="0" applyFont="1" applyAlignment="1">
      <alignment vertical="center"/>
    </xf>
    <xf numFmtId="0" fontId="0" fillId="0" borderId="0" xfId="0" applyAlignment="1">
      <alignment horizontal="left"/>
    </xf>
    <xf numFmtId="9" fontId="0" fillId="0" borderId="0" xfId="4" applyFont="1" applyAlignment="1">
      <alignment horizontal="right"/>
    </xf>
    <xf numFmtId="0" fontId="0" fillId="0" borderId="0" xfId="0" applyAlignment="1">
      <alignment horizontal="right"/>
    </xf>
    <xf numFmtId="6" fontId="0" fillId="0" borderId="0" xfId="0" applyNumberFormat="1" applyAlignment="1">
      <alignment horizontal="right"/>
    </xf>
    <xf numFmtId="0" fontId="3" fillId="0" borderId="0" xfId="0" applyFont="1" applyAlignment="1">
      <alignment horizontal="center"/>
    </xf>
    <xf numFmtId="6" fontId="3" fillId="0" borderId="0" xfId="0" applyNumberFormat="1" applyFont="1" applyAlignment="1">
      <alignment horizontal="center"/>
    </xf>
    <xf numFmtId="0" fontId="8" fillId="0" borderId="0" xfId="0" applyFont="1" applyAlignment="1">
      <alignment horizontal="center"/>
    </xf>
    <xf numFmtId="9" fontId="3" fillId="0" borderId="0" xfId="0" applyNumberFormat="1" applyFont="1" applyAlignment="1">
      <alignment horizontal="center" vertical="center"/>
    </xf>
    <xf numFmtId="179" fontId="52" fillId="0" borderId="15" xfId="0" applyNumberFormat="1" applyFont="1" applyBorder="1"/>
    <xf numFmtId="6" fontId="52" fillId="0" borderId="0" xfId="0" applyNumberFormat="1" applyFont="1"/>
    <xf numFmtId="43" fontId="52" fillId="0" borderId="15" xfId="0" applyNumberFormat="1" applyFont="1" applyBorder="1"/>
    <xf numFmtId="6" fontId="52" fillId="0" borderId="15" xfId="0" applyNumberFormat="1" applyFont="1" applyBorder="1"/>
    <xf numFmtId="169" fontId="52" fillId="0" borderId="0" xfId="0" applyNumberFormat="1" applyFont="1"/>
    <xf numFmtId="166" fontId="52" fillId="0" borderId="0" xfId="3" applyNumberFormat="1" applyFont="1" applyBorder="1" applyAlignment="1">
      <alignment vertical="center"/>
    </xf>
    <xf numFmtId="0" fontId="1" fillId="0" borderId="0" xfId="0" applyFont="1" applyAlignment="1">
      <alignment horizontal="left" vertical="center" indent="1"/>
    </xf>
    <xf numFmtId="0" fontId="21" fillId="0" borderId="0" xfId="0" applyFont="1" applyAlignment="1">
      <alignment horizontal="left" vertical="center" indent="10"/>
    </xf>
    <xf numFmtId="14" fontId="0" fillId="0" borderId="0" xfId="0" applyNumberFormat="1"/>
    <xf numFmtId="8" fontId="0" fillId="0" borderId="0" xfId="0" applyNumberFormat="1"/>
    <xf numFmtId="0" fontId="49" fillId="0" borderId="0" xfId="0" applyFont="1" applyAlignment="1">
      <alignment horizontal="left" vertical="center" indent="10"/>
    </xf>
    <xf numFmtId="6" fontId="2" fillId="0" borderId="0" xfId="0" applyNumberFormat="1" applyFont="1"/>
    <xf numFmtId="0" fontId="59" fillId="0" borderId="0" xfId="0" applyFont="1"/>
    <xf numFmtId="166" fontId="57" fillId="0" borderId="0" xfId="0" applyNumberFormat="1" applyFont="1"/>
    <xf numFmtId="174" fontId="57" fillId="0" borderId="0" xfId="4" applyNumberFormat="1" applyFont="1"/>
    <xf numFmtId="10" fontId="57" fillId="0" borderId="0" xfId="4" applyNumberFormat="1" applyFont="1"/>
    <xf numFmtId="0" fontId="59" fillId="0" borderId="31" xfId="0" applyFont="1" applyBorder="1" applyAlignment="1">
      <alignment horizontal="center"/>
    </xf>
    <xf numFmtId="0" fontId="59" fillId="0" borderId="31" xfId="0" applyFont="1" applyBorder="1"/>
    <xf numFmtId="166" fontId="57" fillId="0" borderId="31" xfId="3" applyNumberFormat="1" applyFont="1" applyFill="1" applyBorder="1"/>
    <xf numFmtId="0" fontId="57" fillId="33" borderId="31" xfId="0" applyFont="1" applyFill="1" applyBorder="1"/>
    <xf numFmtId="166" fontId="57" fillId="33" borderId="31" xfId="3" applyNumberFormat="1" applyFont="1" applyFill="1" applyBorder="1"/>
    <xf numFmtId="0" fontId="24" fillId="0" borderId="0" xfId="0" applyFont="1" applyAlignment="1">
      <alignment horizontal="left" vertical="top" wrapText="1"/>
    </xf>
    <xf numFmtId="0" fontId="24" fillId="0" borderId="33" xfId="0" applyFont="1" applyBorder="1" applyAlignment="1">
      <alignment horizontal="right" vertical="top" wrapText="1"/>
    </xf>
    <xf numFmtId="0" fontId="24" fillId="0" borderId="0" xfId="0" applyFont="1" applyAlignment="1">
      <alignment horizontal="right" vertical="top" wrapText="1"/>
    </xf>
    <xf numFmtId="0" fontId="24" fillId="0" borderId="38" xfId="0" applyFont="1" applyBorder="1" applyAlignment="1">
      <alignment horizontal="right" vertical="top" wrapText="1"/>
    </xf>
    <xf numFmtId="4" fontId="24" fillId="0" borderId="33" xfId="0" applyNumberFormat="1" applyFont="1" applyBorder="1" applyAlignment="1">
      <alignment horizontal="right" vertical="top" wrapText="1"/>
    </xf>
    <xf numFmtId="174" fontId="48" fillId="0" borderId="0" xfId="4" applyNumberFormat="1" applyFont="1"/>
    <xf numFmtId="177" fontId="48" fillId="0" borderId="0" xfId="0" applyNumberFormat="1" applyFont="1" applyAlignment="1">
      <alignment horizontal="right" vertical="top" wrapText="1"/>
    </xf>
    <xf numFmtId="0" fontId="48" fillId="0" borderId="0" xfId="0" applyFont="1" applyAlignment="1">
      <alignment horizontal="left" vertical="top"/>
    </xf>
    <xf numFmtId="9" fontId="57" fillId="0" borderId="0" xfId="4" applyFont="1"/>
    <xf numFmtId="43" fontId="48" fillId="0" borderId="0" xfId="3" applyFont="1" applyAlignment="1">
      <alignment wrapText="1"/>
    </xf>
    <xf numFmtId="43" fontId="0" fillId="0" borderId="0" xfId="3" applyFont="1"/>
    <xf numFmtId="169" fontId="0" fillId="0" borderId="0" xfId="0" applyNumberFormat="1" applyAlignment="1">
      <alignment vertical="center"/>
    </xf>
    <xf numFmtId="6" fontId="0" fillId="0" borderId="0" xfId="0" applyNumberFormat="1" applyAlignment="1">
      <alignment vertical="center"/>
    </xf>
    <xf numFmtId="0" fontId="0" fillId="0" borderId="0" xfId="0" applyAlignment="1">
      <alignment vertical="center" wrapText="1"/>
    </xf>
    <xf numFmtId="0" fontId="0" fillId="0" borderId="0" xfId="0" quotePrefix="1"/>
    <xf numFmtId="0" fontId="49" fillId="0" borderId="51" xfId="0" applyFont="1" applyBorder="1" applyAlignment="1">
      <alignment horizontal="center" vertical="center" wrapText="1"/>
    </xf>
    <xf numFmtId="175" fontId="61" fillId="0" borderId="51" xfId="0" applyNumberFormat="1" applyFont="1" applyBorder="1" applyAlignment="1">
      <alignment horizontal="right" vertical="center" wrapText="1"/>
    </xf>
    <xf numFmtId="0" fontId="48" fillId="0" borderId="5" xfId="0" applyFont="1" applyBorder="1" applyAlignment="1">
      <alignment vertical="center" wrapText="1"/>
    </xf>
    <xf numFmtId="175" fontId="48" fillId="0" borderId="5" xfId="0" applyNumberFormat="1" applyFont="1" applyBorder="1" applyAlignment="1">
      <alignment horizontal="center" vertical="center" wrapText="1"/>
    </xf>
    <xf numFmtId="164" fontId="3" fillId="0" borderId="0" xfId="1" applyNumberFormat="1" applyFont="1" applyFill="1"/>
    <xf numFmtId="164" fontId="8" fillId="0" borderId="0" xfId="0" applyNumberFormat="1" applyFont="1"/>
    <xf numFmtId="164" fontId="27" fillId="0" borderId="0" xfId="0" applyNumberFormat="1" applyFont="1"/>
    <xf numFmtId="0" fontId="8" fillId="0" borderId="0" xfId="0" applyFont="1" applyAlignment="1">
      <alignment horizontal="right"/>
    </xf>
    <xf numFmtId="0" fontId="4" fillId="0" borderId="0" xfId="0" applyFont="1" applyAlignment="1">
      <alignment horizontal="center" vertical="center" wrapText="1"/>
    </xf>
    <xf numFmtId="0" fontId="4" fillId="0" borderId="31" xfId="0" applyFont="1" applyBorder="1" applyAlignment="1">
      <alignment horizontal="center" vertical="center" wrapText="1"/>
    </xf>
    <xf numFmtId="3" fontId="4" fillId="0" borderId="31" xfId="0" applyNumberFormat="1" applyFont="1" applyBorder="1" applyAlignment="1">
      <alignment horizontal="center" vertical="center" wrapText="1"/>
    </xf>
    <xf numFmtId="169" fontId="3" fillId="72" borderId="31" xfId="0" applyNumberFormat="1" applyFont="1" applyFill="1" applyBorder="1"/>
    <xf numFmtId="169" fontId="3" fillId="0" borderId="31" xfId="0" applyNumberFormat="1" applyFont="1" applyBorder="1"/>
    <xf numFmtId="0" fontId="4" fillId="0" borderId="31" xfId="0" applyFont="1" applyBorder="1"/>
    <xf numFmtId="169" fontId="4" fillId="0" borderId="31" xfId="0" applyNumberFormat="1" applyFont="1" applyBorder="1"/>
    <xf numFmtId="0" fontId="3" fillId="0" borderId="0" xfId="0" applyFont="1" applyAlignment="1">
      <alignment horizontal="center" vertical="center" wrapText="1"/>
    </xf>
    <xf numFmtId="164" fontId="3" fillId="0" borderId="0" xfId="1" applyNumberFormat="1" applyFont="1" applyFill="1" applyAlignment="1">
      <alignment horizontal="center" vertical="center" wrapText="1"/>
    </xf>
    <xf numFmtId="9" fontId="3" fillId="0" borderId="0" xfId="0" applyNumberFormat="1" applyFont="1" applyAlignment="1">
      <alignment horizontal="center" vertical="center" wrapText="1"/>
    </xf>
    <xf numFmtId="0" fontId="8" fillId="0" borderId="0" xfId="0" applyFont="1" applyAlignment="1">
      <alignment vertical="center"/>
    </xf>
    <xf numFmtId="174" fontId="8" fillId="0" borderId="0" xfId="0" applyNumberFormat="1" applyFont="1"/>
    <xf numFmtId="9" fontId="21" fillId="0" borderId="0" xfId="0" applyNumberFormat="1" applyFont="1"/>
    <xf numFmtId="0" fontId="61" fillId="0" borderId="31" xfId="0" applyFont="1" applyBorder="1" applyAlignment="1">
      <alignment horizontal="right" vertical="center" wrapText="1"/>
    </xf>
    <xf numFmtId="175" fontId="61" fillId="0" borderId="31" xfId="0" applyNumberFormat="1" applyFont="1" applyBorder="1" applyAlignment="1">
      <alignment horizontal="center" vertical="center" wrapText="1"/>
    </xf>
    <xf numFmtId="0" fontId="52" fillId="0" borderId="49" xfId="0" applyFont="1" applyBorder="1"/>
    <xf numFmtId="0" fontId="48" fillId="69" borderId="51" xfId="0" applyFont="1" applyFill="1" applyBorder="1" applyAlignment="1">
      <alignment horizontal="center" wrapText="1"/>
    </xf>
    <xf numFmtId="0" fontId="57" fillId="0" borderId="48" xfId="0" applyFont="1" applyBorder="1" applyAlignment="1">
      <alignment horizontal="center" vertical="center"/>
    </xf>
    <xf numFmtId="0" fontId="57" fillId="69" borderId="51" xfId="0" applyFont="1" applyFill="1" applyBorder="1" applyAlignment="1">
      <alignment horizontal="center" wrapText="1"/>
    </xf>
    <xf numFmtId="0" fontId="66" fillId="0" borderId="0" xfId="0" applyFont="1"/>
    <xf numFmtId="167" fontId="2" fillId="0" borderId="0" xfId="3" applyNumberFormat="1" applyFont="1" applyBorder="1" applyAlignment="1">
      <alignment horizontal="center" vertical="center" wrapText="1"/>
    </xf>
    <xf numFmtId="169" fontId="65" fillId="0" borderId="0" xfId="1" applyNumberFormat="1" applyFont="1" applyBorder="1"/>
    <xf numFmtId="169" fontId="0" fillId="0" borderId="0" xfId="1" applyNumberFormat="1" applyFont="1" applyBorder="1"/>
    <xf numFmtId="169" fontId="49" fillId="0" borderId="0" xfId="1" applyNumberFormat="1" applyFont="1" applyBorder="1"/>
    <xf numFmtId="0" fontId="0" fillId="0" borderId="26" xfId="0" applyBorder="1"/>
    <xf numFmtId="166" fontId="59" fillId="0" borderId="31" xfId="3" applyNumberFormat="1" applyFont="1" applyFill="1" applyBorder="1"/>
    <xf numFmtId="9" fontId="57" fillId="0" borderId="0" xfId="4" applyFont="1" applyBorder="1" applyAlignment="1">
      <alignment vertical="center"/>
    </xf>
    <xf numFmtId="0" fontId="48" fillId="0" borderId="0" xfId="0" applyFont="1" applyAlignment="1">
      <alignment vertical="center" wrapText="1"/>
    </xf>
    <xf numFmtId="168" fontId="48" fillId="0" borderId="0" xfId="0" applyNumberFormat="1" applyFont="1" applyAlignment="1">
      <alignment vertical="center"/>
    </xf>
    <xf numFmtId="43" fontId="48" fillId="0" borderId="0" xfId="3" applyFont="1" applyFill="1" applyBorder="1" applyAlignment="1">
      <alignment vertical="center" wrapText="1"/>
    </xf>
    <xf numFmtId="43" fontId="48" fillId="0" borderId="0" xfId="3" applyFont="1" applyFill="1" applyBorder="1" applyAlignment="1">
      <alignment vertical="center"/>
    </xf>
    <xf numFmtId="169" fontId="48" fillId="0" borderId="31" xfId="1" applyNumberFormat="1" applyFont="1" applyBorder="1"/>
    <xf numFmtId="0" fontId="21" fillId="0" borderId="0" xfId="0" applyFont="1" applyAlignment="1">
      <alignment vertical="center"/>
    </xf>
    <xf numFmtId="9" fontId="52" fillId="0" borderId="31" xfId="4" applyFont="1" applyFill="1" applyBorder="1" applyAlignment="1">
      <alignment vertical="center"/>
    </xf>
    <xf numFmtId="0" fontId="52" fillId="0" borderId="31" xfId="0" applyFont="1" applyBorder="1" applyAlignment="1">
      <alignment vertical="center"/>
    </xf>
    <xf numFmtId="2" fontId="52" fillId="0" borderId="31" xfId="0" applyNumberFormat="1" applyFont="1" applyBorder="1" applyAlignment="1">
      <alignment vertical="center"/>
    </xf>
    <xf numFmtId="0" fontId="60" fillId="0" borderId="31" xfId="0" applyFont="1" applyBorder="1" applyAlignment="1">
      <alignment vertical="center"/>
    </xf>
    <xf numFmtId="165" fontId="60" fillId="0" borderId="31" xfId="0" applyNumberFormat="1" applyFont="1" applyBorder="1" applyAlignment="1">
      <alignment vertical="center"/>
    </xf>
    <xf numFmtId="168" fontId="60" fillId="0" borderId="31" xfId="0" applyNumberFormat="1" applyFont="1" applyBorder="1" applyAlignment="1">
      <alignment vertical="center"/>
    </xf>
    <xf numFmtId="168" fontId="52" fillId="0" borderId="31" xfId="0" applyNumberFormat="1" applyFont="1" applyBorder="1" applyAlignment="1">
      <alignment vertical="center"/>
    </xf>
    <xf numFmtId="1" fontId="52" fillId="0" borderId="31" xfId="0" applyNumberFormat="1" applyFont="1" applyBorder="1" applyAlignment="1">
      <alignment vertical="center"/>
    </xf>
    <xf numFmtId="0" fontId="52" fillId="0" borderId="31" xfId="0" applyFont="1" applyBorder="1" applyAlignment="1">
      <alignment vertical="center" wrapText="1"/>
    </xf>
    <xf numFmtId="169" fontId="52" fillId="0" borderId="31" xfId="0" applyNumberFormat="1" applyFont="1" applyBorder="1" applyAlignment="1">
      <alignment vertical="center"/>
    </xf>
    <xf numFmtId="166" fontId="52" fillId="0" borderId="31" xfId="3" applyNumberFormat="1" applyFont="1" applyBorder="1" applyAlignment="1">
      <alignment vertical="center"/>
    </xf>
    <xf numFmtId="168" fontId="0" fillId="0" borderId="0" xfId="0" applyNumberFormat="1" applyAlignment="1">
      <alignment vertical="center"/>
    </xf>
    <xf numFmtId="0" fontId="0" fillId="0" borderId="31" xfId="0" applyBorder="1" applyAlignment="1">
      <alignment horizontal="center" vertical="center"/>
    </xf>
    <xf numFmtId="166" fontId="0" fillId="0" borderId="31" xfId="0" applyNumberFormat="1" applyBorder="1"/>
    <xf numFmtId="43" fontId="48" fillId="0" borderId="0" xfId="3" applyFont="1"/>
    <xf numFmtId="0" fontId="0" fillId="0" borderId="21" xfId="0" applyBorder="1"/>
    <xf numFmtId="0" fontId="0" fillId="0" borderId="21" xfId="0" applyBorder="1" applyAlignment="1">
      <alignment wrapText="1"/>
    </xf>
    <xf numFmtId="0" fontId="0" fillId="0" borderId="30" xfId="0" applyBorder="1" applyAlignment="1">
      <alignment vertical="center"/>
    </xf>
    <xf numFmtId="0" fontId="0" fillId="0" borderId="52" xfId="0" applyBorder="1"/>
    <xf numFmtId="0" fontId="0" fillId="0" borderId="52" xfId="0" applyBorder="1" applyAlignment="1">
      <alignment wrapText="1"/>
    </xf>
    <xf numFmtId="0" fontId="0" fillId="0" borderId="29" xfId="0" applyBorder="1"/>
    <xf numFmtId="0" fontId="0" fillId="0" borderId="25" xfId="0" applyBorder="1" applyAlignment="1">
      <alignment vertical="center"/>
    </xf>
    <xf numFmtId="0" fontId="0" fillId="0" borderId="27" xfId="0" applyBorder="1"/>
    <xf numFmtId="0" fontId="0" fillId="0" borderId="27" xfId="0" applyBorder="1" applyAlignment="1">
      <alignment wrapText="1"/>
    </xf>
    <xf numFmtId="0" fontId="0" fillId="0" borderId="28" xfId="0" applyBorder="1"/>
    <xf numFmtId="0" fontId="64" fillId="0" borderId="31" xfId="0" applyFont="1" applyBorder="1" applyAlignment="1">
      <alignment vertical="center" wrapText="1"/>
    </xf>
    <xf numFmtId="0" fontId="64" fillId="0" borderId="31" xfId="0" applyFont="1" applyBorder="1" applyAlignment="1">
      <alignment vertical="center"/>
    </xf>
    <xf numFmtId="0" fontId="0" fillId="0" borderId="31" xfId="0" applyBorder="1" applyAlignment="1">
      <alignment horizontal="center" vertical="center" wrapText="1"/>
    </xf>
    <xf numFmtId="0" fontId="64" fillId="0" borderId="31" xfId="0" applyFont="1" applyBorder="1" applyAlignment="1">
      <alignment horizontal="center" vertical="center" wrapText="1"/>
    </xf>
    <xf numFmtId="0" fontId="0" fillId="0" borderId="31" xfId="0" applyBorder="1" applyAlignment="1">
      <alignment vertical="center"/>
    </xf>
    <xf numFmtId="0" fontId="0" fillId="0" borderId="47" xfId="0" applyBorder="1"/>
    <xf numFmtId="0" fontId="49" fillId="0" borderId="31" xfId="0" applyFont="1" applyBorder="1"/>
    <xf numFmtId="2" fontId="48" fillId="0" borderId="0" xfId="0" applyNumberFormat="1" applyFont="1"/>
    <xf numFmtId="0" fontId="67" fillId="0" borderId="0" xfId="0" applyFont="1"/>
    <xf numFmtId="0" fontId="49" fillId="0" borderId="0" xfId="0" applyFont="1" applyAlignment="1">
      <alignment vertical="center"/>
    </xf>
    <xf numFmtId="3" fontId="48" fillId="0" borderId="0" xfId="0" applyNumberFormat="1" applyFont="1"/>
    <xf numFmtId="1" fontId="48" fillId="0" borderId="0" xfId="0" applyNumberFormat="1" applyFont="1"/>
    <xf numFmtId="43" fontId="48" fillId="0" borderId="0" xfId="3" applyFont="1" applyFill="1"/>
    <xf numFmtId="43" fontId="48" fillId="0" borderId="0" xfId="0" applyNumberFormat="1" applyFont="1"/>
    <xf numFmtId="164" fontId="48" fillId="0" borderId="0" xfId="1" applyNumberFormat="1" applyFont="1" applyFill="1"/>
    <xf numFmtId="164" fontId="48" fillId="0" borderId="0" xfId="0" applyNumberFormat="1" applyFont="1"/>
    <xf numFmtId="176" fontId="48" fillId="0" borderId="0" xfId="0" applyNumberFormat="1" applyFont="1"/>
    <xf numFmtId="9" fontId="0" fillId="0" borderId="0" xfId="4" applyFont="1" applyAlignment="1">
      <alignment horizontal="center" vertical="center"/>
    </xf>
    <xf numFmtId="174" fontId="0" fillId="0" borderId="0" xfId="4" applyNumberFormat="1" applyFont="1"/>
    <xf numFmtId="0" fontId="0" fillId="0" borderId="53" xfId="0" applyBorder="1" applyAlignment="1">
      <alignment vertical="center"/>
    </xf>
    <xf numFmtId="9" fontId="0" fillId="0" borderId="0" xfId="0" applyNumberFormat="1" applyAlignment="1">
      <alignment vertical="center"/>
    </xf>
    <xf numFmtId="2" fontId="48" fillId="0" borderId="0" xfId="0" applyNumberFormat="1" applyFont="1" applyAlignment="1">
      <alignment vertical="center"/>
    </xf>
    <xf numFmtId="10" fontId="0" fillId="0" borderId="0" xfId="4" applyNumberFormat="1" applyFont="1" applyFill="1" applyAlignment="1">
      <alignment vertical="center"/>
    </xf>
    <xf numFmtId="174" fontId="48" fillId="0" borderId="0" xfId="0" applyNumberFormat="1" applyFont="1" applyAlignment="1">
      <alignment vertical="center"/>
    </xf>
    <xf numFmtId="169" fontId="0" fillId="0" borderId="0" xfId="3" applyNumberFormat="1" applyFont="1"/>
    <xf numFmtId="166" fontId="59" fillId="0" borderId="31" xfId="3" applyNumberFormat="1" applyFont="1" applyBorder="1"/>
    <xf numFmtId="0" fontId="59" fillId="0" borderId="0" xfId="0" applyFont="1" applyAlignment="1">
      <alignment horizontal="center"/>
    </xf>
    <xf numFmtId="166" fontId="59" fillId="0" borderId="0" xfId="3" applyNumberFormat="1" applyFont="1" applyBorder="1"/>
    <xf numFmtId="166" fontId="57" fillId="0" borderId="0" xfId="3" applyNumberFormat="1" applyFont="1" applyBorder="1"/>
    <xf numFmtId="0" fontId="52" fillId="0" borderId="0" xfId="0" applyFont="1" applyAlignment="1">
      <alignment vertical="center"/>
    </xf>
    <xf numFmtId="0" fontId="69" fillId="0" borderId="31" xfId="2" applyFont="1" applyFill="1" applyBorder="1" applyAlignment="1">
      <alignment vertical="center"/>
    </xf>
    <xf numFmtId="0" fontId="62" fillId="0" borderId="0" xfId="0" applyFont="1"/>
    <xf numFmtId="167" fontId="52" fillId="0" borderId="31" xfId="3" applyNumberFormat="1" applyFont="1" applyBorder="1" applyAlignment="1">
      <alignment vertical="center"/>
    </xf>
    <xf numFmtId="0" fontId="52" fillId="72" borderId="31" xfId="0" applyFont="1" applyFill="1" applyBorder="1" applyAlignment="1">
      <alignment vertical="center" wrapText="1"/>
    </xf>
    <xf numFmtId="0" fontId="49" fillId="0" borderId="51" xfId="0" applyFont="1" applyBorder="1" applyAlignment="1">
      <alignment horizontal="center" vertical="center"/>
    </xf>
    <xf numFmtId="0" fontId="49" fillId="0" borderId="54" xfId="0" applyFont="1" applyBorder="1" applyAlignment="1">
      <alignment horizontal="center" vertical="center"/>
    </xf>
    <xf numFmtId="0" fontId="21" fillId="0" borderId="0" xfId="0" applyFont="1" applyAlignment="1">
      <alignment vertical="center" wrapText="1"/>
    </xf>
    <xf numFmtId="43" fontId="0" fillId="0" borderId="0" xfId="0" applyNumberFormat="1" applyAlignment="1">
      <alignment vertical="center"/>
    </xf>
    <xf numFmtId="0" fontId="70" fillId="0" borderId="0" xfId="477" applyAlignment="1">
      <alignment horizontal="right"/>
    </xf>
    <xf numFmtId="0" fontId="70" fillId="0" borderId="0" xfId="477" applyAlignment="1">
      <alignment horizontal="left"/>
    </xf>
    <xf numFmtId="0" fontId="70" fillId="0" borderId="0" xfId="477" applyAlignment="1">
      <alignment horizontal="center"/>
    </xf>
    <xf numFmtId="0" fontId="70" fillId="0" borderId="0" xfId="477"/>
    <xf numFmtId="1" fontId="70" fillId="0" borderId="0" xfId="477" applyNumberFormat="1" applyAlignment="1">
      <alignment horizontal="right"/>
    </xf>
    <xf numFmtId="14" fontId="70" fillId="0" borderId="0" xfId="477" applyNumberFormat="1" applyAlignment="1">
      <alignment horizontal="center"/>
    </xf>
    <xf numFmtId="2" fontId="70" fillId="0" borderId="0" xfId="477" applyNumberFormat="1" applyAlignment="1">
      <alignment horizontal="right"/>
    </xf>
    <xf numFmtId="180" fontId="70" fillId="0" borderId="0" xfId="477" applyNumberFormat="1" applyAlignment="1">
      <alignment horizontal="right"/>
    </xf>
    <xf numFmtId="168" fontId="70" fillId="0" borderId="0" xfId="477" applyNumberFormat="1"/>
    <xf numFmtId="1" fontId="70" fillId="0" borderId="0" xfId="477" applyNumberFormat="1"/>
    <xf numFmtId="165" fontId="70" fillId="0" borderId="0" xfId="477" applyNumberFormat="1"/>
    <xf numFmtId="0" fontId="2" fillId="0" borderId="49" xfId="0" applyFont="1" applyBorder="1" applyAlignment="1">
      <alignment horizontal="center" vertical="center" wrapText="1"/>
    </xf>
    <xf numFmtId="169" fontId="0" fillId="0" borderId="49" xfId="1" applyNumberFormat="1" applyFont="1" applyBorder="1"/>
    <xf numFmtId="174" fontId="21" fillId="0" borderId="0" xfId="4" applyNumberFormat="1" applyFont="1"/>
    <xf numFmtId="0" fontId="48" fillId="0" borderId="31" xfId="0" applyFont="1" applyBorder="1" applyAlignment="1">
      <alignment horizontal="center"/>
    </xf>
    <xf numFmtId="0" fontId="48" fillId="0" borderId="31" xfId="0" applyFont="1" applyBorder="1"/>
    <xf numFmtId="166" fontId="48" fillId="0" borderId="31" xfId="3" applyNumberFormat="1" applyFont="1" applyBorder="1"/>
    <xf numFmtId="175" fontId="0" fillId="0" borderId="31" xfId="1" applyNumberFormat="1" applyFont="1" applyBorder="1" applyAlignment="1">
      <alignment vertical="center"/>
    </xf>
    <xf numFmtId="168" fontId="0" fillId="0" borderId="31" xfId="0" applyNumberFormat="1" applyBorder="1"/>
    <xf numFmtId="0" fontId="8" fillId="0" borderId="0" xfId="477" applyFont="1"/>
    <xf numFmtId="2" fontId="70" fillId="0" borderId="0" xfId="477" applyNumberFormat="1"/>
    <xf numFmtId="0" fontId="8" fillId="0" borderId="0" xfId="477" applyFont="1" applyAlignment="1">
      <alignment horizontal="right"/>
    </xf>
    <xf numFmtId="2" fontId="0" fillId="0" borderId="0" xfId="0" applyNumberFormat="1" applyAlignment="1">
      <alignment vertical="center"/>
    </xf>
    <xf numFmtId="0" fontId="71" fillId="0" borderId="0" xfId="0" applyFont="1"/>
    <xf numFmtId="181" fontId="71" fillId="0" borderId="0" xfId="0" applyNumberFormat="1" applyFont="1"/>
    <xf numFmtId="181" fontId="0" fillId="0" borderId="0" xfId="0" applyNumberFormat="1"/>
    <xf numFmtId="9" fontId="48" fillId="0" borderId="0" xfId="3" applyNumberFormat="1" applyFont="1"/>
    <xf numFmtId="166" fontId="48" fillId="0" borderId="31" xfId="0" applyNumberFormat="1" applyFont="1" applyBorder="1"/>
    <xf numFmtId="169" fontId="48" fillId="0" borderId="0" xfId="0" applyNumberFormat="1" applyFont="1"/>
    <xf numFmtId="169" fontId="52" fillId="0" borderId="58" xfId="0" applyNumberFormat="1" applyFont="1" applyBorder="1"/>
    <xf numFmtId="43" fontId="52" fillId="0" borderId="59" xfId="0" applyNumberFormat="1" applyFont="1" applyBorder="1"/>
    <xf numFmtId="6" fontId="52" fillId="0" borderId="59" xfId="0" applyNumberFormat="1" applyFont="1" applyBorder="1"/>
    <xf numFmtId="169" fontId="52" fillId="0" borderId="60" xfId="0" applyNumberFormat="1" applyFont="1" applyBorder="1"/>
    <xf numFmtId="179" fontId="52" fillId="0" borderId="59" xfId="0" applyNumberFormat="1" applyFont="1" applyBorder="1"/>
    <xf numFmtId="166" fontId="48" fillId="0" borderId="0" xfId="3" applyNumberFormat="1" applyFont="1" applyFill="1"/>
    <xf numFmtId="9" fontId="48" fillId="0" borderId="0" xfId="4" applyFont="1" applyFill="1"/>
    <xf numFmtId="6" fontId="48" fillId="0" borderId="0" xfId="0" applyNumberFormat="1" applyFont="1" applyAlignment="1">
      <alignment horizontal="right"/>
    </xf>
    <xf numFmtId="0" fontId="60" fillId="0" borderId="31" xfId="0" applyFont="1" applyBorder="1" applyAlignment="1">
      <alignment horizontal="left" vertical="center"/>
    </xf>
    <xf numFmtId="0" fontId="60" fillId="0" borderId="0" xfId="0" applyFont="1"/>
    <xf numFmtId="169" fontId="72" fillId="0" borderId="0" xfId="0" applyNumberFormat="1" applyFont="1" applyAlignment="1">
      <alignment vertical="center"/>
    </xf>
    <xf numFmtId="0" fontId="72" fillId="0" borderId="0" xfId="0" applyFont="1" applyAlignment="1">
      <alignment vertical="center"/>
    </xf>
    <xf numFmtId="0" fontId="48" fillId="0" borderId="0" xfId="0" applyFont="1" applyAlignment="1">
      <alignment horizontal="left"/>
    </xf>
    <xf numFmtId="0" fontId="73" fillId="0" borderId="31" xfId="0" applyFont="1" applyBorder="1" applyAlignment="1">
      <alignment vertical="center" wrapText="1"/>
    </xf>
    <xf numFmtId="182" fontId="52" fillId="0" borderId="31" xfId="3" applyNumberFormat="1" applyFont="1" applyBorder="1" applyAlignment="1">
      <alignment vertical="center"/>
    </xf>
    <xf numFmtId="169" fontId="63" fillId="0" borderId="0" xfId="0" applyNumberFormat="1" applyFont="1" applyAlignment="1">
      <alignment vertical="center"/>
    </xf>
    <xf numFmtId="175" fontId="48" fillId="0" borderId="51" xfId="0" applyNumberFormat="1" applyFont="1" applyBorder="1" applyAlignment="1">
      <alignment horizontal="center" vertical="center" wrapText="1"/>
    </xf>
    <xf numFmtId="165" fontId="48" fillId="0" borderId="0" xfId="0" applyNumberFormat="1" applyFont="1" applyAlignment="1">
      <alignment wrapText="1"/>
    </xf>
    <xf numFmtId="166" fontId="0" fillId="0" borderId="31" xfId="3" applyNumberFormat="1" applyFont="1" applyFill="1" applyBorder="1"/>
    <xf numFmtId="168" fontId="48" fillId="0" borderId="31" xfId="0" applyNumberFormat="1" applyFont="1" applyBorder="1" applyAlignment="1">
      <alignment horizontal="center" vertical="center" wrapText="1"/>
    </xf>
    <xf numFmtId="43" fontId="52" fillId="0" borderId="31" xfId="3" applyFont="1" applyFill="1" applyBorder="1" applyAlignment="1">
      <alignment vertical="center"/>
    </xf>
    <xf numFmtId="44" fontId="48" fillId="0" borderId="0" xfId="1" applyFont="1" applyFill="1"/>
    <xf numFmtId="169" fontId="0" fillId="0" borderId="31" xfId="1" applyNumberFormat="1" applyFont="1" applyFill="1" applyBorder="1"/>
    <xf numFmtId="0" fontId="52" fillId="0" borderId="0" xfId="0" applyFont="1" applyAlignment="1">
      <alignment vertical="center" wrapText="1"/>
    </xf>
    <xf numFmtId="169" fontId="49" fillId="0" borderId="31" xfId="0" applyNumberFormat="1" applyFont="1" applyBorder="1"/>
    <xf numFmtId="0" fontId="0" fillId="0" borderId="51" xfId="0" applyBorder="1"/>
    <xf numFmtId="166" fontId="48" fillId="0" borderId="0" xfId="3" applyNumberFormat="1" applyFont="1" applyFill="1" applyBorder="1" applyAlignment="1">
      <alignment vertical="center"/>
    </xf>
    <xf numFmtId="166" fontId="48" fillId="0" borderId="0" xfId="3" applyNumberFormat="1" applyFont="1" applyAlignment="1">
      <alignment vertical="center"/>
    </xf>
    <xf numFmtId="166" fontId="0" fillId="0" borderId="0" xfId="3" applyNumberFormat="1" applyFont="1" applyFill="1"/>
    <xf numFmtId="1" fontId="48" fillId="0" borderId="0" xfId="0" applyNumberFormat="1" applyFont="1" applyAlignment="1">
      <alignment vertical="center" wrapText="1"/>
    </xf>
    <xf numFmtId="165" fontId="55" fillId="0" borderId="31" xfId="0" applyNumberFormat="1" applyFont="1" applyBorder="1" applyAlignment="1">
      <alignment vertical="center"/>
    </xf>
    <xf numFmtId="0" fontId="55" fillId="0" borderId="31" xfId="0" applyFont="1" applyBorder="1" applyAlignment="1">
      <alignment vertical="center"/>
    </xf>
    <xf numFmtId="166" fontId="52" fillId="0" borderId="31" xfId="3" applyNumberFormat="1" applyFont="1" applyFill="1" applyBorder="1" applyAlignment="1">
      <alignment vertical="center"/>
    </xf>
    <xf numFmtId="9" fontId="8" fillId="0" borderId="0" xfId="0" applyNumberFormat="1" applyFont="1"/>
    <xf numFmtId="0" fontId="5" fillId="0" borderId="0" xfId="2" applyFill="1" applyAlignment="1" applyProtection="1"/>
    <xf numFmtId="166" fontId="52" fillId="0" borderId="15" xfId="0" applyNumberFormat="1" applyFont="1" applyBorder="1"/>
    <xf numFmtId="9" fontId="52" fillId="0" borderId="0" xfId="0" applyNumberFormat="1" applyFont="1"/>
    <xf numFmtId="166" fontId="52" fillId="0" borderId="0" xfId="0" applyNumberFormat="1" applyFont="1"/>
    <xf numFmtId="10" fontId="52" fillId="0" borderId="0" xfId="0" applyNumberFormat="1" applyFont="1"/>
    <xf numFmtId="3" fontId="52" fillId="0" borderId="0" xfId="0" applyNumberFormat="1" applyFont="1"/>
    <xf numFmtId="0" fontId="52" fillId="0" borderId="0" xfId="0" applyFont="1" applyAlignment="1">
      <alignment horizontal="right"/>
    </xf>
    <xf numFmtId="8" fontId="52" fillId="0" borderId="0" xfId="0" applyNumberFormat="1" applyFont="1"/>
    <xf numFmtId="0" fontId="53" fillId="0" borderId="61" xfId="0" applyFont="1" applyBorder="1" applyAlignment="1">
      <alignment horizontal="center" vertical="center" wrapText="1"/>
    </xf>
    <xf numFmtId="0" fontId="53" fillId="0" borderId="56" xfId="0" applyFont="1" applyBorder="1" applyAlignment="1">
      <alignment horizontal="center" vertical="center" wrapText="1"/>
    </xf>
    <xf numFmtId="0" fontId="53" fillId="71" borderId="56" xfId="0" applyFont="1" applyFill="1" applyBorder="1" applyAlignment="1">
      <alignment horizontal="center" vertical="center" wrapText="1"/>
    </xf>
    <xf numFmtId="0" fontId="53" fillId="0" borderId="62" xfId="0" applyFont="1" applyBorder="1" applyAlignment="1">
      <alignment horizontal="center" vertical="center" wrapText="1"/>
    </xf>
    <xf numFmtId="0" fontId="52" fillId="0" borderId="63" xfId="0" applyFont="1" applyBorder="1"/>
    <xf numFmtId="3" fontId="52" fillId="0" borderId="15" xfId="0" applyNumberFormat="1" applyFont="1" applyBorder="1"/>
    <xf numFmtId="6" fontId="52" fillId="0" borderId="58" xfId="0" applyNumberFormat="1" applyFont="1" applyBorder="1"/>
    <xf numFmtId="0" fontId="52" fillId="0" borderId="64" xfId="0" applyFont="1" applyBorder="1"/>
    <xf numFmtId="3" fontId="52" fillId="0" borderId="59" xfId="0" applyNumberFormat="1" applyFont="1" applyBorder="1"/>
    <xf numFmtId="166" fontId="52" fillId="0" borderId="59" xfId="0" applyNumberFormat="1" applyFont="1" applyBorder="1"/>
    <xf numFmtId="6" fontId="52" fillId="0" borderId="60" xfId="0" applyNumberFormat="1" applyFont="1" applyBorder="1"/>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71" borderId="55" xfId="0" applyFont="1" applyFill="1" applyBorder="1" applyAlignment="1">
      <alignment horizontal="center" wrapText="1"/>
    </xf>
    <xf numFmtId="0" fontId="53" fillId="0" borderId="17" xfId="0" applyFont="1" applyBorder="1" applyAlignment="1">
      <alignment horizontal="center" vertical="center" wrapText="1"/>
    </xf>
    <xf numFmtId="0" fontId="53" fillId="0" borderId="56" xfId="0" applyFont="1" applyBorder="1" applyAlignment="1">
      <alignment horizontal="center" wrapText="1"/>
    </xf>
    <xf numFmtId="0" fontId="53" fillId="71" borderId="57" xfId="0" applyFont="1" applyFill="1" applyBorder="1" applyAlignment="1">
      <alignment horizontal="center" wrapText="1"/>
    </xf>
    <xf numFmtId="0" fontId="52" fillId="0" borderId="3" xfId="0" applyFont="1" applyBorder="1"/>
    <xf numFmtId="166" fontId="52" fillId="0" borderId="49" xfId="3" applyNumberFormat="1" applyFont="1" applyBorder="1"/>
    <xf numFmtId="3" fontId="52" fillId="0" borderId="49" xfId="0" applyNumberFormat="1" applyFont="1" applyBorder="1"/>
    <xf numFmtId="6" fontId="52" fillId="0" borderId="48" xfId="0" applyNumberFormat="1" applyFont="1" applyBorder="1"/>
    <xf numFmtId="6" fontId="52" fillId="0" borderId="31" xfId="0" applyNumberFormat="1" applyFont="1" applyBorder="1"/>
    <xf numFmtId="169" fontId="52" fillId="0" borderId="15" xfId="0" applyNumberFormat="1" applyFont="1" applyBorder="1"/>
    <xf numFmtId="0" fontId="52" fillId="0" borderId="22" xfId="0" applyFont="1" applyBorder="1"/>
    <xf numFmtId="166" fontId="52" fillId="0" borderId="46" xfId="3" applyNumberFormat="1" applyFont="1" applyBorder="1"/>
    <xf numFmtId="3" fontId="52" fillId="0" borderId="46" xfId="0" applyNumberFormat="1" applyFont="1" applyBorder="1"/>
    <xf numFmtId="6" fontId="52" fillId="0" borderId="45" xfId="0" applyNumberFormat="1" applyFont="1" applyBorder="1"/>
    <xf numFmtId="6" fontId="52" fillId="0" borderId="23" xfId="0" applyNumberFormat="1" applyFont="1" applyBorder="1"/>
    <xf numFmtId="169" fontId="52" fillId="0" borderId="59" xfId="0" applyNumberFormat="1" applyFont="1" applyBorder="1"/>
    <xf numFmtId="164" fontId="0" fillId="0" borderId="31" xfId="1" applyNumberFormat="1" applyFont="1" applyFill="1" applyBorder="1"/>
    <xf numFmtId="164" fontId="0" fillId="0" borderId="0" xfId="1" applyNumberFormat="1" applyFont="1" applyFill="1"/>
    <xf numFmtId="43" fontId="52" fillId="0" borderId="0" xfId="0" applyNumberFormat="1" applyFont="1"/>
    <xf numFmtId="9" fontId="52" fillId="0" borderId="31" xfId="4" applyFont="1" applyBorder="1" applyAlignment="1">
      <alignment vertical="center"/>
    </xf>
    <xf numFmtId="9" fontId="60" fillId="0" borderId="31" xfId="0" applyNumberFormat="1" applyFont="1" applyBorder="1" applyAlignment="1">
      <alignment vertical="center"/>
    </xf>
    <xf numFmtId="43" fontId="8" fillId="0" borderId="0" xfId="3" applyFont="1" applyFill="1"/>
    <xf numFmtId="2" fontId="70" fillId="0" borderId="0" xfId="477" applyNumberFormat="1" applyFill="1" applyAlignment="1">
      <alignment horizontal="right"/>
    </xf>
    <xf numFmtId="0" fontId="73" fillId="0" borderId="31" xfId="0" applyFont="1" applyBorder="1"/>
    <xf numFmtId="0" fontId="52" fillId="0" borderId="31" xfId="1" applyNumberFormat="1" applyFont="1" applyFill="1" applyBorder="1" applyAlignment="1">
      <alignment vertical="center"/>
    </xf>
    <xf numFmtId="43" fontId="52" fillId="0" borderId="31" xfId="1" applyNumberFormat="1" applyFont="1" applyFill="1" applyBorder="1" applyAlignment="1">
      <alignment vertical="center"/>
    </xf>
    <xf numFmtId="168" fontId="52" fillId="0" borderId="31" xfId="1" applyNumberFormat="1" applyFont="1" applyFill="1" applyBorder="1" applyAlignment="1">
      <alignment vertical="center"/>
    </xf>
    <xf numFmtId="166" fontId="60" fillId="0" borderId="31" xfId="3" applyNumberFormat="1" applyFont="1" applyBorder="1" applyAlignment="1">
      <alignment vertical="center"/>
    </xf>
    <xf numFmtId="0" fontId="50" fillId="0" borderId="31" xfId="0" applyFont="1" applyBorder="1" applyAlignment="1">
      <alignment vertical="center" wrapText="1"/>
    </xf>
    <xf numFmtId="0" fontId="53" fillId="0" borderId="0" xfId="0" applyFont="1"/>
    <xf numFmtId="0" fontId="0" fillId="0" borderId="0" xfId="0" applyFill="1" applyAlignment="1">
      <alignment horizontal="center"/>
    </xf>
    <xf numFmtId="168" fontId="49" fillId="0" borderId="31" xfId="0" applyNumberFormat="1" applyFont="1" applyBorder="1" applyAlignment="1">
      <alignment horizontal="center" vertical="center" wrapText="1"/>
    </xf>
    <xf numFmtId="0" fontId="49" fillId="68" borderId="31" xfId="0" applyFont="1" applyFill="1" applyBorder="1" applyAlignment="1">
      <alignment horizontal="center" vertical="center" wrapText="1"/>
    </xf>
    <xf numFmtId="0" fontId="48" fillId="0" borderId="31" xfId="0" applyFont="1" applyBorder="1" applyAlignment="1">
      <alignment horizontal="center" vertical="center" wrapText="1"/>
    </xf>
    <xf numFmtId="0" fontId="0" fillId="0" borderId="31" xfId="0" applyBorder="1" applyAlignment="1">
      <alignment horizontal="center" vertical="center" wrapText="1"/>
    </xf>
    <xf numFmtId="0" fontId="64" fillId="0" borderId="31" xfId="0" applyFont="1" applyBorder="1" applyAlignment="1">
      <alignment horizontal="center"/>
    </xf>
    <xf numFmtId="0" fontId="0" fillId="0" borderId="49" xfId="0" applyBorder="1" applyAlignment="1">
      <alignment horizontal="right"/>
    </xf>
    <xf numFmtId="0" fontId="0" fillId="0" borderId="50" xfId="0" applyBorder="1" applyAlignment="1">
      <alignment horizontal="right"/>
    </xf>
    <xf numFmtId="0" fontId="0" fillId="0" borderId="48" xfId="0" applyBorder="1" applyAlignment="1">
      <alignment horizontal="right"/>
    </xf>
    <xf numFmtId="0" fontId="2" fillId="0" borderId="31" xfId="0" applyFont="1" applyBorder="1" applyAlignment="1">
      <alignment horizontal="center"/>
    </xf>
    <xf numFmtId="9" fontId="0" fillId="0" borderId="31" xfId="0" applyNumberFormat="1" applyBorder="1" applyAlignment="1">
      <alignment horizontal="center"/>
    </xf>
    <xf numFmtId="0" fontId="0" fillId="0" borderId="31" xfId="0" applyBorder="1" applyAlignment="1">
      <alignment horizontal="center"/>
    </xf>
    <xf numFmtId="0" fontId="0" fillId="0" borderId="49" xfId="0" applyBorder="1" applyAlignment="1">
      <alignment horizontal="center"/>
    </xf>
    <xf numFmtId="0" fontId="3" fillId="0" borderId="0" xfId="0" applyFont="1" applyAlignment="1">
      <alignment horizontal="right" wrapText="1"/>
    </xf>
    <xf numFmtId="0" fontId="0" fillId="0" borderId="0" xfId="0" applyAlignment="1">
      <alignment horizontal="center"/>
    </xf>
    <xf numFmtId="0" fontId="0" fillId="0" borderId="0" xfId="0" applyAlignment="1">
      <alignment horizontal="center" vertical="center"/>
    </xf>
    <xf numFmtId="0" fontId="57" fillId="0" borderId="0" xfId="0" applyFont="1" applyAlignment="1"/>
    <xf numFmtId="0" fontId="57" fillId="0" borderId="0" xfId="0" applyFont="1" applyAlignment="1">
      <alignment horizontal="right" vertical="center" wrapText="1"/>
    </xf>
    <xf numFmtId="0" fontId="57" fillId="0" borderId="0" xfId="0" applyFont="1" applyAlignment="1">
      <alignment vertical="center"/>
    </xf>
    <xf numFmtId="0" fontId="57" fillId="0" borderId="0" xfId="0" applyFont="1" applyAlignment="1">
      <alignment horizontal="left" vertical="center" wrapText="1"/>
    </xf>
    <xf numFmtId="0" fontId="59" fillId="70" borderId="51" xfId="0" applyFont="1" applyFill="1" applyBorder="1" applyAlignment="1">
      <alignment horizontal="center" vertical="center" textRotation="90"/>
    </xf>
    <xf numFmtId="0" fontId="59" fillId="70" borderId="44" xfId="0" applyFont="1" applyFill="1" applyBorder="1" applyAlignment="1">
      <alignment horizontal="center" vertical="center" textRotation="90"/>
    </xf>
    <xf numFmtId="0" fontId="59" fillId="70" borderId="5" xfId="0" applyFont="1" applyFill="1" applyBorder="1" applyAlignment="1">
      <alignment horizontal="center" vertical="center" textRotation="90"/>
    </xf>
    <xf numFmtId="0" fontId="59" fillId="71" borderId="51" xfId="0" applyFont="1" applyFill="1" applyBorder="1" applyAlignment="1">
      <alignment horizontal="center" vertical="center" textRotation="90"/>
    </xf>
    <xf numFmtId="0" fontId="59" fillId="71" borderId="44" xfId="0" applyFont="1" applyFill="1" applyBorder="1" applyAlignment="1">
      <alignment horizontal="center" vertical="center" textRotation="90"/>
    </xf>
    <xf numFmtId="0" fontId="59" fillId="71" borderId="5" xfId="0" applyFont="1" applyFill="1" applyBorder="1" applyAlignment="1">
      <alignment horizontal="center" vertical="center" textRotation="90"/>
    </xf>
    <xf numFmtId="0" fontId="57" fillId="0" borderId="31" xfId="0" applyFont="1" applyBorder="1" applyAlignment="1">
      <alignment horizontal="center" wrapText="1"/>
    </xf>
    <xf numFmtId="0" fontId="57" fillId="0" borderId="31" xfId="0" applyFont="1" applyBorder="1" applyAlignment="1">
      <alignment horizontal="center"/>
    </xf>
    <xf numFmtId="0" fontId="56" fillId="0" borderId="16" xfId="0" applyFont="1" applyBorder="1" applyAlignment="1">
      <alignment horizontal="center" vertical="center" wrapText="1"/>
    </xf>
    <xf numFmtId="0" fontId="56" fillId="0" borderId="42" xfId="0" applyFont="1" applyBorder="1" applyAlignment="1">
      <alignment horizontal="center" vertical="center" wrapText="1"/>
    </xf>
    <xf numFmtId="0" fontId="56" fillId="0" borderId="39" xfId="0" applyFont="1" applyBorder="1" applyAlignment="1">
      <alignment horizontal="center" vertical="center" wrapText="1"/>
    </xf>
    <xf numFmtId="0" fontId="56" fillId="0" borderId="43" xfId="0" applyFont="1" applyBorder="1" applyAlignment="1">
      <alignment horizontal="center" vertical="center" wrapText="1"/>
    </xf>
    <xf numFmtId="0" fontId="56" fillId="0" borderId="40" xfId="0" applyFont="1" applyBorder="1" applyAlignment="1">
      <alignment horizontal="center" vertical="center" wrapText="1"/>
    </xf>
    <xf numFmtId="0" fontId="56" fillId="0" borderId="38" xfId="0" applyFont="1" applyBorder="1" applyAlignment="1">
      <alignment horizontal="center" vertical="center" wrapText="1"/>
    </xf>
    <xf numFmtId="0" fontId="56" fillId="0" borderId="0" xfId="0" applyFont="1" applyAlignment="1">
      <alignment horizontal="center" vertical="center" wrapText="1"/>
    </xf>
    <xf numFmtId="0" fontId="56" fillId="0" borderId="37" xfId="0" applyFont="1" applyBorder="1" applyAlignment="1">
      <alignment horizontal="center" vertical="center" wrapText="1"/>
    </xf>
    <xf numFmtId="0" fontId="56" fillId="0" borderId="36" xfId="0" applyFont="1" applyBorder="1" applyAlignment="1">
      <alignment horizontal="center" vertical="center" wrapText="1"/>
    </xf>
    <xf numFmtId="0" fontId="24" fillId="0" borderId="40" xfId="0" applyFont="1" applyBorder="1" applyAlignment="1">
      <alignment horizontal="left" vertical="top" wrapText="1"/>
    </xf>
    <xf numFmtId="0" fontId="24" fillId="0" borderId="36" xfId="0" applyFont="1" applyBorder="1" applyAlignment="1">
      <alignment horizontal="center" vertical="center" wrapText="1"/>
    </xf>
    <xf numFmtId="0" fontId="56" fillId="0" borderId="32" xfId="0" applyFont="1" applyBorder="1" applyAlignment="1">
      <alignment horizontal="center" vertical="center" wrapText="1"/>
    </xf>
    <xf numFmtId="0" fontId="56" fillId="0" borderId="33" xfId="0" applyFont="1" applyBorder="1" applyAlignment="1">
      <alignment horizontal="center" vertical="center" wrapText="1"/>
    </xf>
    <xf numFmtId="0" fontId="56" fillId="0" borderId="34" xfId="0" applyFont="1" applyBorder="1" applyAlignment="1">
      <alignment horizontal="center" vertical="center" wrapText="1"/>
    </xf>
    <xf numFmtId="0" fontId="56" fillId="0" borderId="41" xfId="0" applyFont="1" applyBorder="1" applyAlignment="1">
      <alignment horizontal="center" vertical="top" wrapText="1"/>
    </xf>
    <xf numFmtId="0" fontId="56" fillId="0" borderId="35" xfId="0" applyFont="1" applyBorder="1" applyAlignment="1">
      <alignment horizontal="center" vertical="top" wrapText="1"/>
    </xf>
  </cellXfs>
  <cellStyles count="478">
    <cellStyle name="‡" xfId="475" xr:uid="{00000000-0005-0000-0000-000000000000}"/>
    <cellStyle name="20% - Accent1" xfId="24" builtinId="30" customBuiltin="1"/>
    <cellStyle name="20% - Accent1 2" xfId="50" xr:uid="{00000000-0005-0000-0000-000002000000}"/>
    <cellStyle name="20% - Accent2" xfId="28" builtinId="34" customBuiltin="1"/>
    <cellStyle name="20% - Accent2 2" xfId="51" xr:uid="{00000000-0005-0000-0000-000004000000}"/>
    <cellStyle name="20% - Accent3" xfId="32" builtinId="38" customBuiltin="1"/>
    <cellStyle name="20% - Accent3 2" xfId="52" xr:uid="{00000000-0005-0000-0000-000006000000}"/>
    <cellStyle name="20% - Accent4" xfId="36" builtinId="42" customBuiltin="1"/>
    <cellStyle name="20% - Accent4 2" xfId="53" xr:uid="{00000000-0005-0000-0000-000008000000}"/>
    <cellStyle name="20% - Accent5" xfId="40" builtinId="46" customBuiltin="1"/>
    <cellStyle name="20% - Accent5 2" xfId="54" xr:uid="{00000000-0005-0000-0000-00000A000000}"/>
    <cellStyle name="20% - Accent6" xfId="44" builtinId="50" customBuiltin="1"/>
    <cellStyle name="20% - Accent6 2" xfId="55" xr:uid="{00000000-0005-0000-0000-00000C000000}"/>
    <cellStyle name="40% - Accent1" xfId="25" builtinId="31" customBuiltin="1"/>
    <cellStyle name="40% - Accent1 2" xfId="56" xr:uid="{00000000-0005-0000-0000-00000E000000}"/>
    <cellStyle name="40% - Accent2" xfId="29" builtinId="35" customBuiltin="1"/>
    <cellStyle name="40% - Accent2 2" xfId="57" xr:uid="{00000000-0005-0000-0000-000010000000}"/>
    <cellStyle name="40% - Accent3" xfId="33" builtinId="39" customBuiltin="1"/>
    <cellStyle name="40% - Accent3 2" xfId="58" xr:uid="{00000000-0005-0000-0000-000012000000}"/>
    <cellStyle name="40% - Accent4" xfId="37" builtinId="43" customBuiltin="1"/>
    <cellStyle name="40% - Accent4 2" xfId="59" xr:uid="{00000000-0005-0000-0000-000014000000}"/>
    <cellStyle name="40% - Accent5" xfId="41" builtinId="47" customBuiltin="1"/>
    <cellStyle name="40% - Accent5 2" xfId="60" xr:uid="{00000000-0005-0000-0000-000016000000}"/>
    <cellStyle name="40% - Accent6" xfId="45" builtinId="51" customBuiltin="1"/>
    <cellStyle name="40% - Accent6 2" xfId="61" xr:uid="{00000000-0005-0000-0000-000018000000}"/>
    <cellStyle name="60% - Accent1" xfId="26" builtinId="32" customBuiltin="1"/>
    <cellStyle name="60% - Accent2" xfId="30" builtinId="36" customBuiltin="1"/>
    <cellStyle name="60% - Accent3" xfId="34" builtinId="40" customBuiltin="1"/>
    <cellStyle name="60% - Accent4" xfId="38" builtinId="44" customBuiltin="1"/>
    <cellStyle name="60% - Accent5" xfId="42" builtinId="48" customBuiltin="1"/>
    <cellStyle name="60% - Accent6" xfId="46" builtinId="52" customBuiltin="1"/>
    <cellStyle name="A2.Heading1" xfId="474" xr:uid="{00000000-0005-0000-0000-00001F000000}"/>
    <cellStyle name="Accent1" xfId="23" builtinId="29" customBuiltin="1"/>
    <cellStyle name="Accent1 - 20%" xfId="473" xr:uid="{00000000-0005-0000-0000-000021000000}"/>
    <cellStyle name="Accent1 - 40%" xfId="472" xr:uid="{00000000-0005-0000-0000-000022000000}"/>
    <cellStyle name="Accent1 - 60%" xfId="471" xr:uid="{00000000-0005-0000-0000-000023000000}"/>
    <cellStyle name="Accent2" xfId="27" builtinId="33" customBuiltin="1"/>
    <cellStyle name="Accent2 - 20%" xfId="470" xr:uid="{00000000-0005-0000-0000-000025000000}"/>
    <cellStyle name="Accent2 - 40%" xfId="469" xr:uid="{00000000-0005-0000-0000-000026000000}"/>
    <cellStyle name="Accent2 - 60%" xfId="468" xr:uid="{00000000-0005-0000-0000-000027000000}"/>
    <cellStyle name="Accent3" xfId="31" builtinId="37" customBuiltin="1"/>
    <cellStyle name="Accent3 - 20%" xfId="467" xr:uid="{00000000-0005-0000-0000-000029000000}"/>
    <cellStyle name="Accent3 - 40%" xfId="466" xr:uid="{00000000-0005-0000-0000-00002A000000}"/>
    <cellStyle name="Accent3 - 60%" xfId="465" xr:uid="{00000000-0005-0000-0000-00002B000000}"/>
    <cellStyle name="Accent4" xfId="35" builtinId="41" customBuiltin="1"/>
    <cellStyle name="Accent4 - 20%" xfId="464" xr:uid="{00000000-0005-0000-0000-00002D000000}"/>
    <cellStyle name="Accent4 - 40%" xfId="463" xr:uid="{00000000-0005-0000-0000-00002E000000}"/>
    <cellStyle name="Accent4 - 60%" xfId="462" xr:uid="{00000000-0005-0000-0000-00002F000000}"/>
    <cellStyle name="Accent5" xfId="39" builtinId="45" customBuiltin="1"/>
    <cellStyle name="Accent5 - 20%" xfId="461" xr:uid="{00000000-0005-0000-0000-000031000000}"/>
    <cellStyle name="Accent5 - 40%" xfId="460" xr:uid="{00000000-0005-0000-0000-000032000000}"/>
    <cellStyle name="Accent5 - 60%" xfId="459" xr:uid="{00000000-0005-0000-0000-000033000000}"/>
    <cellStyle name="Accent6" xfId="43" builtinId="49" customBuiltin="1"/>
    <cellStyle name="Accent6 - 20%" xfId="458" xr:uid="{00000000-0005-0000-0000-000035000000}"/>
    <cellStyle name="Accent6 - 40%" xfId="457" xr:uid="{00000000-0005-0000-0000-000036000000}"/>
    <cellStyle name="Accent6 - 60%" xfId="456" xr:uid="{00000000-0005-0000-0000-000037000000}"/>
    <cellStyle name="Bad" xfId="12" builtinId="27" customBuiltin="1"/>
    <cellStyle name="Calculation" xfId="16" builtinId="22" customBuiltin="1"/>
    <cellStyle name="Check Cell" xfId="18" builtinId="23" customBuiltin="1"/>
    <cellStyle name="Comma" xfId="3" builtinId="3"/>
    <cellStyle name="Comma 10" xfId="455" xr:uid="{00000000-0005-0000-0000-00003C000000}"/>
    <cellStyle name="Comma 2" xfId="62" xr:uid="{00000000-0005-0000-0000-00003D000000}"/>
    <cellStyle name="Comma 2 2" xfId="63" xr:uid="{00000000-0005-0000-0000-00003E000000}"/>
    <cellStyle name="Comma 2 2 2" xfId="454" xr:uid="{00000000-0005-0000-0000-00003F000000}"/>
    <cellStyle name="Comma 2 3" xfId="64" xr:uid="{00000000-0005-0000-0000-000040000000}"/>
    <cellStyle name="Comma 2 4" xfId="65" xr:uid="{00000000-0005-0000-0000-000041000000}"/>
    <cellStyle name="Comma 2 5" xfId="66" xr:uid="{00000000-0005-0000-0000-000042000000}"/>
    <cellStyle name="Comma 2 6" xfId="67" xr:uid="{00000000-0005-0000-0000-000043000000}"/>
    <cellStyle name="Comma 2 7" xfId="68" xr:uid="{00000000-0005-0000-0000-000044000000}"/>
    <cellStyle name="Comma 2 8" xfId="69" xr:uid="{00000000-0005-0000-0000-000045000000}"/>
    <cellStyle name="Comma 3" xfId="70" xr:uid="{00000000-0005-0000-0000-000046000000}"/>
    <cellStyle name="Comma 3 10" xfId="71" xr:uid="{00000000-0005-0000-0000-000047000000}"/>
    <cellStyle name="Comma 3 2" xfId="72" xr:uid="{00000000-0005-0000-0000-000048000000}"/>
    <cellStyle name="Comma 3 3" xfId="73" xr:uid="{00000000-0005-0000-0000-000049000000}"/>
    <cellStyle name="Comma 3 4" xfId="74" xr:uid="{00000000-0005-0000-0000-00004A000000}"/>
    <cellStyle name="Comma 3 5" xfId="75" xr:uid="{00000000-0005-0000-0000-00004B000000}"/>
    <cellStyle name="Comma 3 6" xfId="76" xr:uid="{00000000-0005-0000-0000-00004C000000}"/>
    <cellStyle name="Comma 3 7" xfId="77" xr:uid="{00000000-0005-0000-0000-00004D000000}"/>
    <cellStyle name="Comma 3 8" xfId="78" xr:uid="{00000000-0005-0000-0000-00004E000000}"/>
    <cellStyle name="Comma 3 9" xfId="79" xr:uid="{00000000-0005-0000-0000-00004F000000}"/>
    <cellStyle name="Comma 4" xfId="80" xr:uid="{00000000-0005-0000-0000-000050000000}"/>
    <cellStyle name="Comma 4 2" xfId="81" xr:uid="{00000000-0005-0000-0000-000051000000}"/>
    <cellStyle name="Comma 4 3" xfId="82" xr:uid="{00000000-0005-0000-0000-000052000000}"/>
    <cellStyle name="Comma 4 4" xfId="83" xr:uid="{00000000-0005-0000-0000-000053000000}"/>
    <cellStyle name="Comma 4 5" xfId="84" xr:uid="{00000000-0005-0000-0000-000054000000}"/>
    <cellStyle name="Comma 4 6" xfId="85" xr:uid="{00000000-0005-0000-0000-000055000000}"/>
    <cellStyle name="Comma 4 7" xfId="86" xr:uid="{00000000-0005-0000-0000-000056000000}"/>
    <cellStyle name="Comma 5" xfId="87" xr:uid="{00000000-0005-0000-0000-000057000000}"/>
    <cellStyle name="Comma 6" xfId="453" xr:uid="{00000000-0005-0000-0000-000058000000}"/>
    <cellStyle name="Comma 7" xfId="452" xr:uid="{00000000-0005-0000-0000-000059000000}"/>
    <cellStyle name="Comma 8" xfId="451" xr:uid="{00000000-0005-0000-0000-00005A000000}"/>
    <cellStyle name="Comma 9" xfId="450" xr:uid="{00000000-0005-0000-0000-00005B000000}"/>
    <cellStyle name="Currency" xfId="1" builtinId="4"/>
    <cellStyle name="Currency 10" xfId="88" xr:uid="{00000000-0005-0000-0000-00005D000000}"/>
    <cellStyle name="Currency 2" xfId="89" xr:uid="{00000000-0005-0000-0000-00005E000000}"/>
    <cellStyle name="Currency 2 2" xfId="90" xr:uid="{00000000-0005-0000-0000-00005F000000}"/>
    <cellStyle name="Currency 2 2 2" xfId="91" xr:uid="{00000000-0005-0000-0000-000060000000}"/>
    <cellStyle name="Currency 2 2 3" xfId="92" xr:uid="{00000000-0005-0000-0000-000061000000}"/>
    <cellStyle name="Currency 2 2 4" xfId="93" xr:uid="{00000000-0005-0000-0000-000062000000}"/>
    <cellStyle name="Currency 2 2 5" xfId="476" xr:uid="{85E1E813-5D22-4B68-BCEA-FFBB85253588}"/>
    <cellStyle name="Currency 2 3" xfId="94" xr:uid="{00000000-0005-0000-0000-000063000000}"/>
    <cellStyle name="Currency 2 4" xfId="95" xr:uid="{00000000-0005-0000-0000-000064000000}"/>
    <cellStyle name="Currency 2 5" xfId="96" xr:uid="{00000000-0005-0000-0000-000065000000}"/>
    <cellStyle name="Currency 3" xfId="97" xr:uid="{00000000-0005-0000-0000-000066000000}"/>
    <cellStyle name="Currency 3 2" xfId="98" xr:uid="{00000000-0005-0000-0000-000067000000}"/>
    <cellStyle name="Currency 3 3" xfId="99" xr:uid="{00000000-0005-0000-0000-000068000000}"/>
    <cellStyle name="Currency 3 4" xfId="100" xr:uid="{00000000-0005-0000-0000-000069000000}"/>
    <cellStyle name="Currency 4" xfId="101" xr:uid="{00000000-0005-0000-0000-00006A000000}"/>
    <cellStyle name="Currency 4 2" xfId="102" xr:uid="{00000000-0005-0000-0000-00006B000000}"/>
    <cellStyle name="Currency 4 3" xfId="103" xr:uid="{00000000-0005-0000-0000-00006C000000}"/>
    <cellStyle name="Currency 4 4" xfId="104" xr:uid="{00000000-0005-0000-0000-00006D000000}"/>
    <cellStyle name="Currency 5" xfId="105" xr:uid="{00000000-0005-0000-0000-00006E000000}"/>
    <cellStyle name="Currency 5 2" xfId="106" xr:uid="{00000000-0005-0000-0000-00006F000000}"/>
    <cellStyle name="Currency 5 3" xfId="107" xr:uid="{00000000-0005-0000-0000-000070000000}"/>
    <cellStyle name="Currency 5 4" xfId="108" xr:uid="{00000000-0005-0000-0000-000071000000}"/>
    <cellStyle name="Currency 6" xfId="109" xr:uid="{00000000-0005-0000-0000-000072000000}"/>
    <cellStyle name="Currency 6 2" xfId="110" xr:uid="{00000000-0005-0000-0000-000073000000}"/>
    <cellStyle name="Currency 6 3" xfId="111" xr:uid="{00000000-0005-0000-0000-000074000000}"/>
    <cellStyle name="Currency 6 4" xfId="112" xr:uid="{00000000-0005-0000-0000-000075000000}"/>
    <cellStyle name="Currency 7" xfId="113" xr:uid="{00000000-0005-0000-0000-000076000000}"/>
    <cellStyle name="Currency 7 2" xfId="114" xr:uid="{00000000-0005-0000-0000-000077000000}"/>
    <cellStyle name="Currency 7 3" xfId="115" xr:uid="{00000000-0005-0000-0000-000078000000}"/>
    <cellStyle name="Currency 7 4" xfId="116" xr:uid="{00000000-0005-0000-0000-000079000000}"/>
    <cellStyle name="Currency 8" xfId="117" xr:uid="{00000000-0005-0000-0000-00007A000000}"/>
    <cellStyle name="Currency 9" xfId="118" xr:uid="{00000000-0005-0000-0000-00007B000000}"/>
    <cellStyle name="Date" xfId="449" xr:uid="{00000000-0005-0000-0000-00007C000000}"/>
    <cellStyle name="Emphasis 1" xfId="448" xr:uid="{00000000-0005-0000-0000-00007D000000}"/>
    <cellStyle name="Emphasis 2" xfId="447" xr:uid="{00000000-0005-0000-0000-00007E000000}"/>
    <cellStyle name="Emphasis 3" xfId="446" xr:uid="{00000000-0005-0000-0000-00007F000000}"/>
    <cellStyle name="Explanatory Text" xfId="21" builtinId="53" customBuiltin="1"/>
    <cellStyle name="Fixed" xfId="445" xr:uid="{00000000-0005-0000-0000-000081000000}"/>
    <cellStyle name="Good" xfId="11" builtinId="26" customBuiltin="1"/>
    <cellStyle name="Heading 1" xfId="7" builtinId="16" customBuiltin="1"/>
    <cellStyle name="Heading 2" xfId="8" builtinId="17" customBuiltin="1"/>
    <cellStyle name="Heading 3" xfId="9" builtinId="18" customBuiltin="1"/>
    <cellStyle name="Heading 4" xfId="10" builtinId="19" customBuiltin="1"/>
    <cellStyle name="Heading1" xfId="444" xr:uid="{00000000-0005-0000-0000-000087000000}"/>
    <cellStyle name="Heading2" xfId="443" xr:uid="{00000000-0005-0000-0000-000088000000}"/>
    <cellStyle name="Hyperlink" xfId="2" builtinId="8"/>
    <cellStyle name="Hyperlink 2" xfId="442" xr:uid="{00000000-0005-0000-0000-00008A000000}"/>
    <cellStyle name="Hyperlink 2 2" xfId="441" xr:uid="{00000000-0005-0000-0000-00008B000000}"/>
    <cellStyle name="Input" xfId="14" builtinId="20" customBuiltin="1"/>
    <cellStyle name="Linked Cell" xfId="17" builtinId="24" customBuiltin="1"/>
    <cellStyle name="Milliers 2" xfId="440" xr:uid="{00000000-0005-0000-0000-00008E000000}"/>
    <cellStyle name="Monétaire 2" xfId="439" xr:uid="{00000000-0005-0000-0000-00008F000000}"/>
    <cellStyle name="Neutral" xfId="13" builtinId="28" customBuiltin="1"/>
    <cellStyle name="Normal" xfId="0" builtinId="0"/>
    <cellStyle name="Normal - Style1" xfId="438" xr:uid="{00000000-0005-0000-0000-000092000000}"/>
    <cellStyle name="Normal - Style2" xfId="437" xr:uid="{00000000-0005-0000-0000-000093000000}"/>
    <cellStyle name="Normal - Style3" xfId="436" xr:uid="{00000000-0005-0000-0000-000094000000}"/>
    <cellStyle name="Normal - Style4" xfId="435" xr:uid="{00000000-0005-0000-0000-000095000000}"/>
    <cellStyle name="Normal - Style5" xfId="434" xr:uid="{00000000-0005-0000-0000-000096000000}"/>
    <cellStyle name="Normal - Style6" xfId="433" xr:uid="{00000000-0005-0000-0000-000097000000}"/>
    <cellStyle name="Normal - Style7" xfId="432" xr:uid="{00000000-0005-0000-0000-000098000000}"/>
    <cellStyle name="Normal - Style8" xfId="431" xr:uid="{00000000-0005-0000-0000-000099000000}"/>
    <cellStyle name="Normal 10" xfId="119" xr:uid="{00000000-0005-0000-0000-00009A000000}"/>
    <cellStyle name="Normal 10 2" xfId="120" xr:uid="{00000000-0005-0000-0000-00009B000000}"/>
    <cellStyle name="Normal 10 2 2" xfId="121" xr:uid="{00000000-0005-0000-0000-00009C000000}"/>
    <cellStyle name="Normal 10 2 3" xfId="122" xr:uid="{00000000-0005-0000-0000-00009D000000}"/>
    <cellStyle name="Normal 10 2 4" xfId="123" xr:uid="{00000000-0005-0000-0000-00009E000000}"/>
    <cellStyle name="Normal 10 3" xfId="124" xr:uid="{00000000-0005-0000-0000-00009F000000}"/>
    <cellStyle name="Normal 10 3 2" xfId="125" xr:uid="{00000000-0005-0000-0000-0000A0000000}"/>
    <cellStyle name="Normal 10 3 3" xfId="126" xr:uid="{00000000-0005-0000-0000-0000A1000000}"/>
    <cellStyle name="Normal 10 3 4" xfId="127" xr:uid="{00000000-0005-0000-0000-0000A2000000}"/>
    <cellStyle name="Normal 10 4" xfId="128" xr:uid="{00000000-0005-0000-0000-0000A3000000}"/>
    <cellStyle name="Normal 10 4 2" xfId="129" xr:uid="{00000000-0005-0000-0000-0000A4000000}"/>
    <cellStyle name="Normal 10 4 3" xfId="130" xr:uid="{00000000-0005-0000-0000-0000A5000000}"/>
    <cellStyle name="Normal 10 4 4" xfId="131" xr:uid="{00000000-0005-0000-0000-0000A6000000}"/>
    <cellStyle name="Normal 10 5" xfId="132" xr:uid="{00000000-0005-0000-0000-0000A7000000}"/>
    <cellStyle name="Normal 10 6" xfId="133" xr:uid="{00000000-0005-0000-0000-0000A8000000}"/>
    <cellStyle name="Normal 10 7" xfId="134" xr:uid="{00000000-0005-0000-0000-0000A9000000}"/>
    <cellStyle name="Normal 11" xfId="135" xr:uid="{00000000-0005-0000-0000-0000AA000000}"/>
    <cellStyle name="Normal 11 2" xfId="136" xr:uid="{00000000-0005-0000-0000-0000AB000000}"/>
    <cellStyle name="Normal 11 3" xfId="137" xr:uid="{00000000-0005-0000-0000-0000AC000000}"/>
    <cellStyle name="Normal 11 4" xfId="138" xr:uid="{00000000-0005-0000-0000-0000AD000000}"/>
    <cellStyle name="Normal 12" xfId="139" xr:uid="{00000000-0005-0000-0000-0000AE000000}"/>
    <cellStyle name="Normal 12 2" xfId="140" xr:uid="{00000000-0005-0000-0000-0000AF000000}"/>
    <cellStyle name="Normal 12 3" xfId="141" xr:uid="{00000000-0005-0000-0000-0000B0000000}"/>
    <cellStyle name="Normal 12 4" xfId="142" xr:uid="{00000000-0005-0000-0000-0000B1000000}"/>
    <cellStyle name="Normal 13" xfId="143" xr:uid="{00000000-0005-0000-0000-0000B2000000}"/>
    <cellStyle name="Normal 13 2" xfId="144" xr:uid="{00000000-0005-0000-0000-0000B3000000}"/>
    <cellStyle name="Normal 13 3" xfId="145" xr:uid="{00000000-0005-0000-0000-0000B4000000}"/>
    <cellStyle name="Normal 13 4" xfId="146" xr:uid="{00000000-0005-0000-0000-0000B5000000}"/>
    <cellStyle name="Normal 14" xfId="147" xr:uid="{00000000-0005-0000-0000-0000B6000000}"/>
    <cellStyle name="Normal 15" xfId="148" xr:uid="{00000000-0005-0000-0000-0000B7000000}"/>
    <cellStyle name="Normal 16" xfId="149" xr:uid="{00000000-0005-0000-0000-0000B8000000}"/>
    <cellStyle name="Normal 17" xfId="150" xr:uid="{00000000-0005-0000-0000-0000B9000000}"/>
    <cellStyle name="Normal 18" xfId="49" xr:uid="{00000000-0005-0000-0000-0000BA000000}"/>
    <cellStyle name="Normal 19" xfId="151" xr:uid="{00000000-0005-0000-0000-0000BB000000}"/>
    <cellStyle name="Normal 2" xfId="5" xr:uid="{00000000-0005-0000-0000-0000BC000000}"/>
    <cellStyle name="Normal 2 10" xfId="152" xr:uid="{00000000-0005-0000-0000-0000BD000000}"/>
    <cellStyle name="Normal 2 10 2" xfId="153" xr:uid="{00000000-0005-0000-0000-0000BE000000}"/>
    <cellStyle name="Normal 2 10 3" xfId="154" xr:uid="{00000000-0005-0000-0000-0000BF000000}"/>
    <cellStyle name="Normal 2 10 4" xfId="155" xr:uid="{00000000-0005-0000-0000-0000C0000000}"/>
    <cellStyle name="Normal 2 11" xfId="156" xr:uid="{00000000-0005-0000-0000-0000C1000000}"/>
    <cellStyle name="Normal 2 12" xfId="157" xr:uid="{00000000-0005-0000-0000-0000C2000000}"/>
    <cellStyle name="Normal 2 13" xfId="158" xr:uid="{00000000-0005-0000-0000-0000C3000000}"/>
    <cellStyle name="Normal 2 14" xfId="159" xr:uid="{00000000-0005-0000-0000-0000C4000000}"/>
    <cellStyle name="Normal 2 15" xfId="160" xr:uid="{00000000-0005-0000-0000-0000C5000000}"/>
    <cellStyle name="Normal 2 16" xfId="161" xr:uid="{00000000-0005-0000-0000-0000C6000000}"/>
    <cellStyle name="Normal 2 2" xfId="47" xr:uid="{00000000-0005-0000-0000-0000C7000000}"/>
    <cellStyle name="Normal 2 2 2" xfId="162" xr:uid="{00000000-0005-0000-0000-0000C8000000}"/>
    <cellStyle name="Normal 2 2 2 2" xfId="163" xr:uid="{00000000-0005-0000-0000-0000C9000000}"/>
    <cellStyle name="Normal 2 2 2 3" xfId="164" xr:uid="{00000000-0005-0000-0000-0000CA000000}"/>
    <cellStyle name="Normal 2 2 2 4" xfId="165" xr:uid="{00000000-0005-0000-0000-0000CB000000}"/>
    <cellStyle name="Normal 2 2 3" xfId="166" xr:uid="{00000000-0005-0000-0000-0000CC000000}"/>
    <cellStyle name="Normal 2 2 4" xfId="167" xr:uid="{00000000-0005-0000-0000-0000CD000000}"/>
    <cellStyle name="Normal 2 2 5" xfId="168" xr:uid="{00000000-0005-0000-0000-0000CE000000}"/>
    <cellStyle name="Normal 2 2 6" xfId="169" xr:uid="{00000000-0005-0000-0000-0000CF000000}"/>
    <cellStyle name="Normal 2 2 7" xfId="170" xr:uid="{00000000-0005-0000-0000-0000D0000000}"/>
    <cellStyle name="Normal 2 3" xfId="171" xr:uid="{00000000-0005-0000-0000-0000D1000000}"/>
    <cellStyle name="Normal 2 3 2" xfId="172" xr:uid="{00000000-0005-0000-0000-0000D2000000}"/>
    <cellStyle name="Normal 2 3 3" xfId="173" xr:uid="{00000000-0005-0000-0000-0000D3000000}"/>
    <cellStyle name="Normal 2 3 4" xfId="174" xr:uid="{00000000-0005-0000-0000-0000D4000000}"/>
    <cellStyle name="Normal 2 4" xfId="175" xr:uid="{00000000-0005-0000-0000-0000D5000000}"/>
    <cellStyle name="Normal 2 4 2" xfId="176" xr:uid="{00000000-0005-0000-0000-0000D6000000}"/>
    <cellStyle name="Normal 2 4 3" xfId="177" xr:uid="{00000000-0005-0000-0000-0000D7000000}"/>
    <cellStyle name="Normal 2 4 4" xfId="178" xr:uid="{00000000-0005-0000-0000-0000D8000000}"/>
    <cellStyle name="Normal 2 5" xfId="179" xr:uid="{00000000-0005-0000-0000-0000D9000000}"/>
    <cellStyle name="Normal 2 5 2" xfId="180" xr:uid="{00000000-0005-0000-0000-0000DA000000}"/>
    <cellStyle name="Normal 2 5 3" xfId="181" xr:uid="{00000000-0005-0000-0000-0000DB000000}"/>
    <cellStyle name="Normal 2 5 4" xfId="182" xr:uid="{00000000-0005-0000-0000-0000DC000000}"/>
    <cellStyle name="Normal 2 6" xfId="183" xr:uid="{00000000-0005-0000-0000-0000DD000000}"/>
    <cellStyle name="Normal 2 6 2" xfId="184" xr:uid="{00000000-0005-0000-0000-0000DE000000}"/>
    <cellStyle name="Normal 2 6 3" xfId="185" xr:uid="{00000000-0005-0000-0000-0000DF000000}"/>
    <cellStyle name="Normal 2 6 4" xfId="186" xr:uid="{00000000-0005-0000-0000-0000E0000000}"/>
    <cellStyle name="Normal 2 7" xfId="187" xr:uid="{00000000-0005-0000-0000-0000E1000000}"/>
    <cellStyle name="Normal 2 7 2" xfId="188" xr:uid="{00000000-0005-0000-0000-0000E2000000}"/>
    <cellStyle name="Normal 2 7 3" xfId="189" xr:uid="{00000000-0005-0000-0000-0000E3000000}"/>
    <cellStyle name="Normal 2 7 4" xfId="190" xr:uid="{00000000-0005-0000-0000-0000E4000000}"/>
    <cellStyle name="Normal 2 8" xfId="191" xr:uid="{00000000-0005-0000-0000-0000E5000000}"/>
    <cellStyle name="Normal 2 8 2" xfId="192" xr:uid="{00000000-0005-0000-0000-0000E6000000}"/>
    <cellStyle name="Normal 2 8 3" xfId="193" xr:uid="{00000000-0005-0000-0000-0000E7000000}"/>
    <cellStyle name="Normal 2 8 4" xfId="194" xr:uid="{00000000-0005-0000-0000-0000E8000000}"/>
    <cellStyle name="Normal 2 9" xfId="195" xr:uid="{00000000-0005-0000-0000-0000E9000000}"/>
    <cellStyle name="Normal 2 9 2" xfId="196" xr:uid="{00000000-0005-0000-0000-0000EA000000}"/>
    <cellStyle name="Normal 2 9 3" xfId="197" xr:uid="{00000000-0005-0000-0000-0000EB000000}"/>
    <cellStyle name="Normal 2 9 4" xfId="198" xr:uid="{00000000-0005-0000-0000-0000EC000000}"/>
    <cellStyle name="Normal 20" xfId="477" xr:uid="{4BFB1CDE-BF9D-44CC-B5A1-62CBA7570DB7}"/>
    <cellStyle name="Normal 28" xfId="430" xr:uid="{00000000-0005-0000-0000-0000ED000000}"/>
    <cellStyle name="Normal 28 2" xfId="429" xr:uid="{00000000-0005-0000-0000-0000EE000000}"/>
    <cellStyle name="Normal 3" xfId="199" xr:uid="{00000000-0005-0000-0000-0000EF000000}"/>
    <cellStyle name="Normal 3 2" xfId="200" xr:uid="{00000000-0005-0000-0000-0000F0000000}"/>
    <cellStyle name="Normal 3 2 2" xfId="48" xr:uid="{00000000-0005-0000-0000-0000F1000000}"/>
    <cellStyle name="Normal 3 2 2 2" xfId="201" xr:uid="{00000000-0005-0000-0000-0000F2000000}"/>
    <cellStyle name="Normal 3 2 2 3" xfId="202" xr:uid="{00000000-0005-0000-0000-0000F3000000}"/>
    <cellStyle name="Normal 3 2 3" xfId="203" xr:uid="{00000000-0005-0000-0000-0000F4000000}"/>
    <cellStyle name="Normal 3 2 4" xfId="204" xr:uid="{00000000-0005-0000-0000-0000F5000000}"/>
    <cellStyle name="Normal 3 3" xfId="205" xr:uid="{00000000-0005-0000-0000-0000F6000000}"/>
    <cellStyle name="Normal 3 3 2" xfId="428" xr:uid="{00000000-0005-0000-0000-0000F7000000}"/>
    <cellStyle name="Normal 32" xfId="427" xr:uid="{00000000-0005-0000-0000-0000F8000000}"/>
    <cellStyle name="Normal 32 2" xfId="426" xr:uid="{00000000-0005-0000-0000-0000F9000000}"/>
    <cellStyle name="Normal 34" xfId="425" xr:uid="{00000000-0005-0000-0000-0000FA000000}"/>
    <cellStyle name="Normal 34 2" xfId="424" xr:uid="{00000000-0005-0000-0000-0000FB000000}"/>
    <cellStyle name="Normal 36" xfId="423" xr:uid="{00000000-0005-0000-0000-0000FC000000}"/>
    <cellStyle name="Normal 36 2" xfId="422" xr:uid="{00000000-0005-0000-0000-0000FD000000}"/>
    <cellStyle name="Normal 4" xfId="206" xr:uid="{00000000-0005-0000-0000-0000FE000000}"/>
    <cellStyle name="Normal 4 2" xfId="207" xr:uid="{00000000-0005-0000-0000-0000FF000000}"/>
    <cellStyle name="Normal 4 3" xfId="208" xr:uid="{00000000-0005-0000-0000-000000010000}"/>
    <cellStyle name="Normal 4 4" xfId="209" xr:uid="{00000000-0005-0000-0000-000001010000}"/>
    <cellStyle name="Normal 42" xfId="421" xr:uid="{00000000-0005-0000-0000-000002010000}"/>
    <cellStyle name="Normal 42 2" xfId="420" xr:uid="{00000000-0005-0000-0000-000003010000}"/>
    <cellStyle name="Normal 49" xfId="419" xr:uid="{00000000-0005-0000-0000-000004010000}"/>
    <cellStyle name="Normal 49 2" xfId="418" xr:uid="{00000000-0005-0000-0000-000005010000}"/>
    <cellStyle name="Normal 49 3" xfId="417" xr:uid="{00000000-0005-0000-0000-000006010000}"/>
    <cellStyle name="Normal 5" xfId="210" xr:uid="{00000000-0005-0000-0000-000007010000}"/>
    <cellStyle name="Normal 5 10" xfId="211" xr:uid="{00000000-0005-0000-0000-000008010000}"/>
    <cellStyle name="Normal 5 11" xfId="212" xr:uid="{00000000-0005-0000-0000-000009010000}"/>
    <cellStyle name="Normal 5 12" xfId="213" xr:uid="{00000000-0005-0000-0000-00000A010000}"/>
    <cellStyle name="Normal 5 2" xfId="214" xr:uid="{00000000-0005-0000-0000-00000B010000}"/>
    <cellStyle name="Normal 5 2 2" xfId="215" xr:uid="{00000000-0005-0000-0000-00000C010000}"/>
    <cellStyle name="Normal 5 2 3" xfId="216" xr:uid="{00000000-0005-0000-0000-00000D010000}"/>
    <cellStyle name="Normal 5 2 4" xfId="217" xr:uid="{00000000-0005-0000-0000-00000E010000}"/>
    <cellStyle name="Normal 5 3" xfId="218" xr:uid="{00000000-0005-0000-0000-00000F010000}"/>
    <cellStyle name="Normal 5 3 2" xfId="219" xr:uid="{00000000-0005-0000-0000-000010010000}"/>
    <cellStyle name="Normal 5 3 3" xfId="220" xr:uid="{00000000-0005-0000-0000-000011010000}"/>
    <cellStyle name="Normal 5 3 4" xfId="221" xr:uid="{00000000-0005-0000-0000-000012010000}"/>
    <cellStyle name="Normal 5 4" xfId="222" xr:uid="{00000000-0005-0000-0000-000013010000}"/>
    <cellStyle name="Normal 5 4 2" xfId="223" xr:uid="{00000000-0005-0000-0000-000014010000}"/>
    <cellStyle name="Normal 5 4 3" xfId="224" xr:uid="{00000000-0005-0000-0000-000015010000}"/>
    <cellStyle name="Normal 5 4 4" xfId="225" xr:uid="{00000000-0005-0000-0000-000016010000}"/>
    <cellStyle name="Normal 5 5" xfId="226" xr:uid="{00000000-0005-0000-0000-000017010000}"/>
    <cellStyle name="Normal 5 5 2" xfId="227" xr:uid="{00000000-0005-0000-0000-000018010000}"/>
    <cellStyle name="Normal 5 5 3" xfId="228" xr:uid="{00000000-0005-0000-0000-000019010000}"/>
    <cellStyle name="Normal 5 5 4" xfId="229" xr:uid="{00000000-0005-0000-0000-00001A010000}"/>
    <cellStyle name="Normal 5 6" xfId="230" xr:uid="{00000000-0005-0000-0000-00001B010000}"/>
    <cellStyle name="Normal 5 6 2" xfId="231" xr:uid="{00000000-0005-0000-0000-00001C010000}"/>
    <cellStyle name="Normal 5 6 3" xfId="232" xr:uid="{00000000-0005-0000-0000-00001D010000}"/>
    <cellStyle name="Normal 5 6 4" xfId="233" xr:uid="{00000000-0005-0000-0000-00001E010000}"/>
    <cellStyle name="Normal 5 7" xfId="234" xr:uid="{00000000-0005-0000-0000-00001F010000}"/>
    <cellStyle name="Normal 5 7 2" xfId="235" xr:uid="{00000000-0005-0000-0000-000020010000}"/>
    <cellStyle name="Normal 5 7 3" xfId="236" xr:uid="{00000000-0005-0000-0000-000021010000}"/>
    <cellStyle name="Normal 5 7 4" xfId="237" xr:uid="{00000000-0005-0000-0000-000022010000}"/>
    <cellStyle name="Normal 5 8" xfId="238" xr:uid="{00000000-0005-0000-0000-000023010000}"/>
    <cellStyle name="Normal 5 9" xfId="239" xr:uid="{00000000-0005-0000-0000-000024010000}"/>
    <cellStyle name="Normal 6" xfId="240" xr:uid="{00000000-0005-0000-0000-000025010000}"/>
    <cellStyle name="Normal 6 10" xfId="241" xr:uid="{00000000-0005-0000-0000-000026010000}"/>
    <cellStyle name="Normal 6 2" xfId="242" xr:uid="{00000000-0005-0000-0000-000027010000}"/>
    <cellStyle name="Normal 6 2 2" xfId="243" xr:uid="{00000000-0005-0000-0000-000028010000}"/>
    <cellStyle name="Normal 6 2 3" xfId="244" xr:uid="{00000000-0005-0000-0000-000029010000}"/>
    <cellStyle name="Normal 6 2 4" xfId="245" xr:uid="{00000000-0005-0000-0000-00002A010000}"/>
    <cellStyle name="Normal 6 3" xfId="246" xr:uid="{00000000-0005-0000-0000-00002B010000}"/>
    <cellStyle name="Normal 6 3 2" xfId="247" xr:uid="{00000000-0005-0000-0000-00002C010000}"/>
    <cellStyle name="Normal 6 3 3" xfId="248" xr:uid="{00000000-0005-0000-0000-00002D010000}"/>
    <cellStyle name="Normal 6 3 4" xfId="249" xr:uid="{00000000-0005-0000-0000-00002E010000}"/>
    <cellStyle name="Normal 6 4" xfId="250" xr:uid="{00000000-0005-0000-0000-00002F010000}"/>
    <cellStyle name="Normal 6 4 2" xfId="251" xr:uid="{00000000-0005-0000-0000-000030010000}"/>
    <cellStyle name="Normal 6 4 3" xfId="252" xr:uid="{00000000-0005-0000-0000-000031010000}"/>
    <cellStyle name="Normal 6 4 4" xfId="253" xr:uid="{00000000-0005-0000-0000-000032010000}"/>
    <cellStyle name="Normal 6 5" xfId="254" xr:uid="{00000000-0005-0000-0000-000033010000}"/>
    <cellStyle name="Normal 6 5 2" xfId="255" xr:uid="{00000000-0005-0000-0000-000034010000}"/>
    <cellStyle name="Normal 6 5 3" xfId="256" xr:uid="{00000000-0005-0000-0000-000035010000}"/>
    <cellStyle name="Normal 6 5 4" xfId="257" xr:uid="{00000000-0005-0000-0000-000036010000}"/>
    <cellStyle name="Normal 6 6" xfId="258" xr:uid="{00000000-0005-0000-0000-000037010000}"/>
    <cellStyle name="Normal 6 6 2" xfId="259" xr:uid="{00000000-0005-0000-0000-000038010000}"/>
    <cellStyle name="Normal 6 6 3" xfId="260" xr:uid="{00000000-0005-0000-0000-000039010000}"/>
    <cellStyle name="Normal 6 6 4" xfId="261" xr:uid="{00000000-0005-0000-0000-00003A010000}"/>
    <cellStyle name="Normal 6 7" xfId="262" xr:uid="{00000000-0005-0000-0000-00003B010000}"/>
    <cellStyle name="Normal 6 7 2" xfId="263" xr:uid="{00000000-0005-0000-0000-00003C010000}"/>
    <cellStyle name="Normal 6 7 3" xfId="264" xr:uid="{00000000-0005-0000-0000-00003D010000}"/>
    <cellStyle name="Normal 6 7 4" xfId="265" xr:uid="{00000000-0005-0000-0000-00003E010000}"/>
    <cellStyle name="Normal 6 8" xfId="266" xr:uid="{00000000-0005-0000-0000-00003F010000}"/>
    <cellStyle name="Normal 6 9" xfId="267" xr:uid="{00000000-0005-0000-0000-000040010000}"/>
    <cellStyle name="Normal 69 2" xfId="416" xr:uid="{00000000-0005-0000-0000-000041010000}"/>
    <cellStyle name="Normal 7" xfId="268" xr:uid="{00000000-0005-0000-0000-000042010000}"/>
    <cellStyle name="Normal 7 10" xfId="269" xr:uid="{00000000-0005-0000-0000-000043010000}"/>
    <cellStyle name="Normal 7 2" xfId="270" xr:uid="{00000000-0005-0000-0000-000044010000}"/>
    <cellStyle name="Normal 7 2 2" xfId="271" xr:uid="{00000000-0005-0000-0000-000045010000}"/>
    <cellStyle name="Normal 7 2 3" xfId="272" xr:uid="{00000000-0005-0000-0000-000046010000}"/>
    <cellStyle name="Normal 7 2 4" xfId="273" xr:uid="{00000000-0005-0000-0000-000047010000}"/>
    <cellStyle name="Normal 7 3" xfId="274" xr:uid="{00000000-0005-0000-0000-000048010000}"/>
    <cellStyle name="Normal 7 3 2" xfId="275" xr:uid="{00000000-0005-0000-0000-000049010000}"/>
    <cellStyle name="Normal 7 3 3" xfId="276" xr:uid="{00000000-0005-0000-0000-00004A010000}"/>
    <cellStyle name="Normal 7 3 4" xfId="277" xr:uid="{00000000-0005-0000-0000-00004B010000}"/>
    <cellStyle name="Normal 7 4" xfId="278" xr:uid="{00000000-0005-0000-0000-00004C010000}"/>
    <cellStyle name="Normal 7 4 2" xfId="279" xr:uid="{00000000-0005-0000-0000-00004D010000}"/>
    <cellStyle name="Normal 7 4 3" xfId="280" xr:uid="{00000000-0005-0000-0000-00004E010000}"/>
    <cellStyle name="Normal 7 4 4" xfId="281" xr:uid="{00000000-0005-0000-0000-00004F010000}"/>
    <cellStyle name="Normal 7 5" xfId="282" xr:uid="{00000000-0005-0000-0000-000050010000}"/>
    <cellStyle name="Normal 7 5 2" xfId="283" xr:uid="{00000000-0005-0000-0000-000051010000}"/>
    <cellStyle name="Normal 7 5 3" xfId="284" xr:uid="{00000000-0005-0000-0000-000052010000}"/>
    <cellStyle name="Normal 7 5 4" xfId="285" xr:uid="{00000000-0005-0000-0000-000053010000}"/>
    <cellStyle name="Normal 7 6" xfId="286" xr:uid="{00000000-0005-0000-0000-000054010000}"/>
    <cellStyle name="Normal 7 6 2" xfId="287" xr:uid="{00000000-0005-0000-0000-000055010000}"/>
    <cellStyle name="Normal 7 6 3" xfId="288" xr:uid="{00000000-0005-0000-0000-000056010000}"/>
    <cellStyle name="Normal 7 6 4" xfId="289" xr:uid="{00000000-0005-0000-0000-000057010000}"/>
    <cellStyle name="Normal 7 7" xfId="290" xr:uid="{00000000-0005-0000-0000-000058010000}"/>
    <cellStyle name="Normal 7 7 2" xfId="291" xr:uid="{00000000-0005-0000-0000-000059010000}"/>
    <cellStyle name="Normal 7 7 3" xfId="292" xr:uid="{00000000-0005-0000-0000-00005A010000}"/>
    <cellStyle name="Normal 7 7 4" xfId="293" xr:uid="{00000000-0005-0000-0000-00005B010000}"/>
    <cellStyle name="Normal 7 8" xfId="294" xr:uid="{00000000-0005-0000-0000-00005C010000}"/>
    <cellStyle name="Normal 7 9" xfId="295" xr:uid="{00000000-0005-0000-0000-00005D010000}"/>
    <cellStyle name="Normal 70" xfId="415" xr:uid="{00000000-0005-0000-0000-00005E010000}"/>
    <cellStyle name="Normal 70 2" xfId="414" xr:uid="{00000000-0005-0000-0000-00005F010000}"/>
    <cellStyle name="Normal 70 3" xfId="413" xr:uid="{00000000-0005-0000-0000-000060010000}"/>
    <cellStyle name="Normal 8" xfId="296" xr:uid="{00000000-0005-0000-0000-000061010000}"/>
    <cellStyle name="Normal 8 2" xfId="297" xr:uid="{00000000-0005-0000-0000-000062010000}"/>
    <cellStyle name="Normal 8 2 2" xfId="298" xr:uid="{00000000-0005-0000-0000-000063010000}"/>
    <cellStyle name="Normal 8 2 3" xfId="299" xr:uid="{00000000-0005-0000-0000-000064010000}"/>
    <cellStyle name="Normal 8 2 4" xfId="300" xr:uid="{00000000-0005-0000-0000-000065010000}"/>
    <cellStyle name="Normal 8 3" xfId="301" xr:uid="{00000000-0005-0000-0000-000066010000}"/>
    <cellStyle name="Normal 8 3 2" xfId="302" xr:uid="{00000000-0005-0000-0000-000067010000}"/>
    <cellStyle name="Normal 8 3 3" xfId="303" xr:uid="{00000000-0005-0000-0000-000068010000}"/>
    <cellStyle name="Normal 8 3 4" xfId="304" xr:uid="{00000000-0005-0000-0000-000069010000}"/>
    <cellStyle name="Normal 8 4" xfId="305" xr:uid="{00000000-0005-0000-0000-00006A010000}"/>
    <cellStyle name="Normal 8 4 2" xfId="306" xr:uid="{00000000-0005-0000-0000-00006B010000}"/>
    <cellStyle name="Normal 8 4 3" xfId="307" xr:uid="{00000000-0005-0000-0000-00006C010000}"/>
    <cellStyle name="Normal 8 4 4" xfId="308" xr:uid="{00000000-0005-0000-0000-00006D010000}"/>
    <cellStyle name="Normal 8 5" xfId="309" xr:uid="{00000000-0005-0000-0000-00006E010000}"/>
    <cellStyle name="Normal 8 6" xfId="310" xr:uid="{00000000-0005-0000-0000-00006F010000}"/>
    <cellStyle name="Normal 8 7" xfId="311" xr:uid="{00000000-0005-0000-0000-000070010000}"/>
    <cellStyle name="Normal 9" xfId="312" xr:uid="{00000000-0005-0000-0000-000071010000}"/>
    <cellStyle name="Normal 9 2" xfId="313" xr:uid="{00000000-0005-0000-0000-000072010000}"/>
    <cellStyle name="Normal 9 2 2" xfId="314" xr:uid="{00000000-0005-0000-0000-000073010000}"/>
    <cellStyle name="Normal 9 2 3" xfId="315" xr:uid="{00000000-0005-0000-0000-000074010000}"/>
    <cellStyle name="Normal 9 2 4" xfId="316" xr:uid="{00000000-0005-0000-0000-000075010000}"/>
    <cellStyle name="Normal 9 3" xfId="317" xr:uid="{00000000-0005-0000-0000-000076010000}"/>
    <cellStyle name="Normal 9 3 2" xfId="318" xr:uid="{00000000-0005-0000-0000-000077010000}"/>
    <cellStyle name="Normal 9 3 3" xfId="319" xr:uid="{00000000-0005-0000-0000-000078010000}"/>
    <cellStyle name="Normal 9 3 4" xfId="320" xr:uid="{00000000-0005-0000-0000-000079010000}"/>
    <cellStyle name="Normal 9 4" xfId="321" xr:uid="{00000000-0005-0000-0000-00007A010000}"/>
    <cellStyle name="Normal 9 4 2" xfId="322" xr:uid="{00000000-0005-0000-0000-00007B010000}"/>
    <cellStyle name="Normal 9 4 3" xfId="323" xr:uid="{00000000-0005-0000-0000-00007C010000}"/>
    <cellStyle name="Normal 9 4 4" xfId="324" xr:uid="{00000000-0005-0000-0000-00007D010000}"/>
    <cellStyle name="Normal 9 5" xfId="325" xr:uid="{00000000-0005-0000-0000-00007E010000}"/>
    <cellStyle name="Normal 9 6" xfId="326" xr:uid="{00000000-0005-0000-0000-00007F010000}"/>
    <cellStyle name="Normal 9 7" xfId="327" xr:uid="{00000000-0005-0000-0000-000080010000}"/>
    <cellStyle name="Note" xfId="20" builtinId="10" customBuiltin="1"/>
    <cellStyle name="Note 10" xfId="328" xr:uid="{00000000-0005-0000-0000-000082010000}"/>
    <cellStyle name="Note 11" xfId="329" xr:uid="{00000000-0005-0000-0000-000083010000}"/>
    <cellStyle name="Note 12" xfId="330" xr:uid="{00000000-0005-0000-0000-000084010000}"/>
    <cellStyle name="Note 2" xfId="331" xr:uid="{00000000-0005-0000-0000-000085010000}"/>
    <cellStyle name="Note 3" xfId="332" xr:uid="{00000000-0005-0000-0000-000086010000}"/>
    <cellStyle name="Note 4" xfId="333" xr:uid="{00000000-0005-0000-0000-000087010000}"/>
    <cellStyle name="Note 5" xfId="334" xr:uid="{00000000-0005-0000-0000-000088010000}"/>
    <cellStyle name="Note 6" xfId="335" xr:uid="{00000000-0005-0000-0000-000089010000}"/>
    <cellStyle name="Note 7" xfId="336" xr:uid="{00000000-0005-0000-0000-00008A010000}"/>
    <cellStyle name="Note 8" xfId="337" xr:uid="{00000000-0005-0000-0000-00008B010000}"/>
    <cellStyle name="Note 9" xfId="338" xr:uid="{00000000-0005-0000-0000-00008C010000}"/>
    <cellStyle name="Output" xfId="15" builtinId="21" customBuiltin="1"/>
    <cellStyle name="Percent" xfId="4" builtinId="5"/>
    <cellStyle name="Percent 2" xfId="339" xr:uid="{00000000-0005-0000-0000-00008F010000}"/>
    <cellStyle name="Percent 2 10" xfId="340" xr:uid="{00000000-0005-0000-0000-000090010000}"/>
    <cellStyle name="Percent 2 11" xfId="341" xr:uid="{00000000-0005-0000-0000-000091010000}"/>
    <cellStyle name="Percent 2 2" xfId="342" xr:uid="{00000000-0005-0000-0000-000092010000}"/>
    <cellStyle name="Percent 2 3" xfId="343" xr:uid="{00000000-0005-0000-0000-000093010000}"/>
    <cellStyle name="Percent 2 3 2" xfId="412" xr:uid="{00000000-0005-0000-0000-000094010000}"/>
    <cellStyle name="Percent 2 4" xfId="344" xr:uid="{00000000-0005-0000-0000-000095010000}"/>
    <cellStyle name="Percent 2 5" xfId="345" xr:uid="{00000000-0005-0000-0000-000096010000}"/>
    <cellStyle name="Percent 2 6" xfId="346" xr:uid="{00000000-0005-0000-0000-000097010000}"/>
    <cellStyle name="Percent 2 7" xfId="347" xr:uid="{00000000-0005-0000-0000-000098010000}"/>
    <cellStyle name="Percent 2 8" xfId="348" xr:uid="{00000000-0005-0000-0000-000099010000}"/>
    <cellStyle name="Percent 2 9" xfId="349" xr:uid="{00000000-0005-0000-0000-00009A010000}"/>
    <cellStyle name="Percent 3" xfId="350" xr:uid="{00000000-0005-0000-0000-00009B010000}"/>
    <cellStyle name="Percent 3 2" xfId="351" xr:uid="{00000000-0005-0000-0000-00009C010000}"/>
    <cellStyle name="Percent 3 3" xfId="352" xr:uid="{00000000-0005-0000-0000-00009D010000}"/>
    <cellStyle name="Percent 3 4" xfId="353" xr:uid="{00000000-0005-0000-0000-00009E010000}"/>
    <cellStyle name="Percent 3 5" xfId="354" xr:uid="{00000000-0005-0000-0000-00009F010000}"/>
    <cellStyle name="Percent 3 6" xfId="355" xr:uid="{00000000-0005-0000-0000-0000A0010000}"/>
    <cellStyle name="Percent 3 7" xfId="356" xr:uid="{00000000-0005-0000-0000-0000A1010000}"/>
    <cellStyle name="Percent 4" xfId="357" xr:uid="{00000000-0005-0000-0000-0000A2010000}"/>
    <cellStyle name="Percent 4 2" xfId="358" xr:uid="{00000000-0005-0000-0000-0000A3010000}"/>
    <cellStyle name="Percent 4 3" xfId="359" xr:uid="{00000000-0005-0000-0000-0000A4010000}"/>
    <cellStyle name="Percent 4 4" xfId="360" xr:uid="{00000000-0005-0000-0000-0000A5010000}"/>
    <cellStyle name="Percent 4 5" xfId="361" xr:uid="{00000000-0005-0000-0000-0000A6010000}"/>
    <cellStyle name="Percent 4 6" xfId="362" xr:uid="{00000000-0005-0000-0000-0000A7010000}"/>
    <cellStyle name="Percent 4 7" xfId="363" xr:uid="{00000000-0005-0000-0000-0000A8010000}"/>
    <cellStyle name="Percent 5" xfId="364" xr:uid="{00000000-0005-0000-0000-0000A9010000}"/>
    <cellStyle name="Percent 6" xfId="365" xr:uid="{00000000-0005-0000-0000-0000AA010000}"/>
    <cellStyle name="Pourcentage 2" xfId="411" xr:uid="{00000000-0005-0000-0000-0000AB010000}"/>
    <cellStyle name="SAPBEXaggData" xfId="410" xr:uid="{00000000-0005-0000-0000-0000AC010000}"/>
    <cellStyle name="SAPBEXaggDataEmph" xfId="409" xr:uid="{00000000-0005-0000-0000-0000AD010000}"/>
    <cellStyle name="SAPBEXaggItem" xfId="408" xr:uid="{00000000-0005-0000-0000-0000AE010000}"/>
    <cellStyle name="SAPBEXaggItemX" xfId="407" xr:uid="{00000000-0005-0000-0000-0000AF010000}"/>
    <cellStyle name="SAPBEXchaText" xfId="406" xr:uid="{00000000-0005-0000-0000-0000B0010000}"/>
    <cellStyle name="SAPBEXexcBad7" xfId="405" xr:uid="{00000000-0005-0000-0000-0000B1010000}"/>
    <cellStyle name="SAPBEXexcBad8" xfId="404" xr:uid="{00000000-0005-0000-0000-0000B2010000}"/>
    <cellStyle name="SAPBEXexcBad9" xfId="403" xr:uid="{00000000-0005-0000-0000-0000B3010000}"/>
    <cellStyle name="SAPBEXexcCritical4" xfId="402" xr:uid="{00000000-0005-0000-0000-0000B4010000}"/>
    <cellStyle name="SAPBEXexcCritical5" xfId="401" xr:uid="{00000000-0005-0000-0000-0000B5010000}"/>
    <cellStyle name="SAPBEXexcCritical6" xfId="400" xr:uid="{00000000-0005-0000-0000-0000B6010000}"/>
    <cellStyle name="SAPBEXexcGood1" xfId="399" xr:uid="{00000000-0005-0000-0000-0000B7010000}"/>
    <cellStyle name="SAPBEXexcGood2" xfId="398" xr:uid="{00000000-0005-0000-0000-0000B8010000}"/>
    <cellStyle name="SAPBEXexcGood3" xfId="397" xr:uid="{00000000-0005-0000-0000-0000B9010000}"/>
    <cellStyle name="SAPBEXfilterDrill" xfId="396" xr:uid="{00000000-0005-0000-0000-0000BA010000}"/>
    <cellStyle name="SAPBEXfilterItem" xfId="395" xr:uid="{00000000-0005-0000-0000-0000BB010000}"/>
    <cellStyle name="SAPBEXfilterText" xfId="394" xr:uid="{00000000-0005-0000-0000-0000BC010000}"/>
    <cellStyle name="SAPBEXformats" xfId="393" xr:uid="{00000000-0005-0000-0000-0000BD010000}"/>
    <cellStyle name="SAPBEXheaderItem" xfId="392" xr:uid="{00000000-0005-0000-0000-0000BE010000}"/>
    <cellStyle name="SAPBEXheaderText" xfId="391" xr:uid="{00000000-0005-0000-0000-0000BF010000}"/>
    <cellStyle name="SAPBEXHLevel0" xfId="390" xr:uid="{00000000-0005-0000-0000-0000C0010000}"/>
    <cellStyle name="SAPBEXHLevel0X" xfId="389" xr:uid="{00000000-0005-0000-0000-0000C1010000}"/>
    <cellStyle name="SAPBEXHLevel1" xfId="388" xr:uid="{00000000-0005-0000-0000-0000C2010000}"/>
    <cellStyle name="SAPBEXHLevel1X" xfId="387" xr:uid="{00000000-0005-0000-0000-0000C3010000}"/>
    <cellStyle name="SAPBEXHLevel2" xfId="386" xr:uid="{00000000-0005-0000-0000-0000C4010000}"/>
    <cellStyle name="SAPBEXHLevel2X" xfId="385" xr:uid="{00000000-0005-0000-0000-0000C5010000}"/>
    <cellStyle name="SAPBEXHLevel3" xfId="384" xr:uid="{00000000-0005-0000-0000-0000C6010000}"/>
    <cellStyle name="SAPBEXHLevel3X" xfId="383" xr:uid="{00000000-0005-0000-0000-0000C7010000}"/>
    <cellStyle name="SAPBEXinputData" xfId="382" xr:uid="{00000000-0005-0000-0000-0000C8010000}"/>
    <cellStyle name="SAPBEXItemHeader" xfId="381" xr:uid="{00000000-0005-0000-0000-0000C9010000}"/>
    <cellStyle name="SAPBEXresData" xfId="380" xr:uid="{00000000-0005-0000-0000-0000CA010000}"/>
    <cellStyle name="SAPBEXresDataEmph" xfId="379" xr:uid="{00000000-0005-0000-0000-0000CB010000}"/>
    <cellStyle name="SAPBEXresItem" xfId="378" xr:uid="{00000000-0005-0000-0000-0000CC010000}"/>
    <cellStyle name="SAPBEXresItemX" xfId="377" xr:uid="{00000000-0005-0000-0000-0000CD010000}"/>
    <cellStyle name="SAPBEXstdData" xfId="376" xr:uid="{00000000-0005-0000-0000-0000CE010000}"/>
    <cellStyle name="SAPBEXstdDataEmph" xfId="375" xr:uid="{00000000-0005-0000-0000-0000CF010000}"/>
    <cellStyle name="SAPBEXstdItem" xfId="374" xr:uid="{00000000-0005-0000-0000-0000D0010000}"/>
    <cellStyle name="SAPBEXstdItemX" xfId="373" xr:uid="{00000000-0005-0000-0000-0000D1010000}"/>
    <cellStyle name="SAPBEXtitle" xfId="372" xr:uid="{00000000-0005-0000-0000-0000D2010000}"/>
    <cellStyle name="SAPBEXunassignedItem" xfId="371" xr:uid="{00000000-0005-0000-0000-0000D3010000}"/>
    <cellStyle name="SAPBEXundefined" xfId="370" xr:uid="{00000000-0005-0000-0000-0000D4010000}"/>
    <cellStyle name="Sheet Title" xfId="369" xr:uid="{00000000-0005-0000-0000-0000D5010000}"/>
    <cellStyle name="Source Text" xfId="368" xr:uid="{00000000-0005-0000-0000-0000D6010000}"/>
    <cellStyle name="Title" xfId="6" builtinId="15" customBuiltin="1"/>
    <cellStyle name="Title 2" xfId="367" xr:uid="{00000000-0005-0000-0000-0000D8010000}"/>
    <cellStyle name="Total" xfId="22" builtinId="25" customBuiltin="1"/>
    <cellStyle name="Warning Text" xfId="19" builtinId="11" customBuiltin="1"/>
    <cellStyle name="Y.check" xfId="366" xr:uid="{00000000-0005-0000-0000-0000DB010000}"/>
  </cellStyles>
  <dxfs count="3">
    <dxf>
      <numFmt numFmtId="169" formatCode="&quot;$&quot;#,##0"/>
    </dxf>
    <dxf>
      <numFmt numFmtId="169" formatCode="&quot;$&quot;#,##0"/>
    </dxf>
    <dxf>
      <alignment horizontal="center" vertical="center" textRotation="0" wrapText="1" indent="0" justifyLastLine="0" shrinkToFit="0" readingOrder="0"/>
    </dxf>
  </dxfs>
  <tableStyles count="0" defaultTableStyle="TableStyleMedium2" defaultPivotStyle="PivotStyleLight16"/>
  <colors>
    <mruColors>
      <color rgb="FFFFFF8B"/>
      <color rgb="FFCDE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externalLink" Target="externalLinks/externalLink9.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40" Type="http://schemas.openxmlformats.org/officeDocument/2006/relationships/sharedStrings" Target="sharedStrings.xml"/><Relationship Id="rId45"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6.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38"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11</xdr:row>
      <xdr:rowOff>28575</xdr:rowOff>
    </xdr:from>
    <xdr:to>
      <xdr:col>15</xdr:col>
      <xdr:colOff>467556</xdr:colOff>
      <xdr:row>32</xdr:row>
      <xdr:rowOff>51394</xdr:rowOff>
    </xdr:to>
    <xdr:pic>
      <xdr:nvPicPr>
        <xdr:cNvPr id="2" name="Picture 1">
          <a:extLst>
            <a:ext uri="{FF2B5EF4-FFF2-40B4-BE49-F238E27FC236}">
              <a16:creationId xmlns:a16="http://schemas.microsoft.com/office/drawing/2014/main" id="{789EC171-C298-42BB-A8B4-A6F0950BB16F}"/>
            </a:ext>
          </a:extLst>
        </xdr:cNvPr>
        <xdr:cNvPicPr>
          <a:picLocks noChangeAspect="1"/>
        </xdr:cNvPicPr>
      </xdr:nvPicPr>
      <xdr:blipFill>
        <a:blip xmlns:r="http://schemas.openxmlformats.org/officeDocument/2006/relationships" r:embed="rId1"/>
        <a:stretch>
          <a:fillRect/>
        </a:stretch>
      </xdr:blipFill>
      <xdr:spPr>
        <a:xfrm>
          <a:off x="6181725" y="2505075"/>
          <a:ext cx="5953956" cy="42582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95250</xdr:colOff>
      <xdr:row>6</xdr:row>
      <xdr:rowOff>95250</xdr:rowOff>
    </xdr:from>
    <xdr:to>
      <xdr:col>23</xdr:col>
      <xdr:colOff>486765</xdr:colOff>
      <xdr:row>45</xdr:row>
      <xdr:rowOff>124919</xdr:rowOff>
    </xdr:to>
    <xdr:pic>
      <xdr:nvPicPr>
        <xdr:cNvPr id="3" name="Picture 2">
          <a:extLst>
            <a:ext uri="{FF2B5EF4-FFF2-40B4-BE49-F238E27FC236}">
              <a16:creationId xmlns:a16="http://schemas.microsoft.com/office/drawing/2014/main" id="{E6429BC7-2DCF-4CE5-BA11-765B40D2CE9E}"/>
            </a:ext>
          </a:extLst>
        </xdr:cNvPr>
        <xdr:cNvPicPr>
          <a:picLocks noChangeAspect="1"/>
        </xdr:cNvPicPr>
      </xdr:nvPicPr>
      <xdr:blipFill>
        <a:blip xmlns:r="http://schemas.openxmlformats.org/officeDocument/2006/relationships" r:embed="rId1"/>
        <a:stretch>
          <a:fillRect/>
        </a:stretch>
      </xdr:blipFill>
      <xdr:spPr>
        <a:xfrm>
          <a:off x="9915525" y="1238250"/>
          <a:ext cx="7097115" cy="784016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752475</xdr:colOff>
      <xdr:row>11</xdr:row>
      <xdr:rowOff>85679</xdr:rowOff>
    </xdr:from>
    <xdr:to>
      <xdr:col>14</xdr:col>
      <xdr:colOff>285402</xdr:colOff>
      <xdr:row>16</xdr:row>
      <xdr:rowOff>304974</xdr:rowOff>
    </xdr:to>
    <xdr:pic>
      <xdr:nvPicPr>
        <xdr:cNvPr id="2" name="Picture 1">
          <a:extLst>
            <a:ext uri="{FF2B5EF4-FFF2-40B4-BE49-F238E27FC236}">
              <a16:creationId xmlns:a16="http://schemas.microsoft.com/office/drawing/2014/main" id="{0AA66428-DBFB-43A3-A187-B1E1EC061E9D}"/>
            </a:ext>
          </a:extLst>
        </xdr:cNvPr>
        <xdr:cNvPicPr>
          <a:picLocks noChangeAspect="1"/>
        </xdr:cNvPicPr>
      </xdr:nvPicPr>
      <xdr:blipFill>
        <a:blip xmlns:r="http://schemas.openxmlformats.org/officeDocument/2006/relationships" r:embed="rId1"/>
        <a:stretch>
          <a:fillRect/>
        </a:stretch>
      </xdr:blipFill>
      <xdr:spPr>
        <a:xfrm>
          <a:off x="5619750" y="2190704"/>
          <a:ext cx="4628802" cy="1124170"/>
        </a:xfrm>
        <a:prstGeom prst="rect">
          <a:avLst/>
        </a:prstGeom>
      </xdr:spPr>
    </xdr:pic>
    <xdr:clientData/>
  </xdr:twoCellAnchor>
  <xdr:twoCellAnchor editAs="oneCell">
    <xdr:from>
      <xdr:col>7</xdr:col>
      <xdr:colOff>226218</xdr:colOff>
      <xdr:row>24</xdr:row>
      <xdr:rowOff>59531</xdr:rowOff>
    </xdr:from>
    <xdr:to>
      <xdr:col>15</xdr:col>
      <xdr:colOff>141166</xdr:colOff>
      <xdr:row>47</xdr:row>
      <xdr:rowOff>41078</xdr:rowOff>
    </xdr:to>
    <xdr:pic>
      <xdr:nvPicPr>
        <xdr:cNvPr id="3" name="Picture 2">
          <a:extLst>
            <a:ext uri="{FF2B5EF4-FFF2-40B4-BE49-F238E27FC236}">
              <a16:creationId xmlns:a16="http://schemas.microsoft.com/office/drawing/2014/main" id="{8DA588AB-D7E0-4B50-8D79-5C32427024A5}"/>
            </a:ext>
          </a:extLst>
        </xdr:cNvPr>
        <xdr:cNvPicPr>
          <a:picLocks noChangeAspect="1"/>
        </xdr:cNvPicPr>
      </xdr:nvPicPr>
      <xdr:blipFill>
        <a:blip xmlns:r="http://schemas.openxmlformats.org/officeDocument/2006/relationships" r:embed="rId2"/>
        <a:stretch>
          <a:fillRect/>
        </a:stretch>
      </xdr:blipFill>
      <xdr:spPr>
        <a:xfrm>
          <a:off x="6465093" y="4431506"/>
          <a:ext cx="4794923" cy="4363047"/>
        </a:xfrm>
        <a:prstGeom prst="rect">
          <a:avLst/>
        </a:prstGeom>
      </xdr:spPr>
    </xdr:pic>
    <xdr:clientData/>
  </xdr:twoCellAnchor>
  <xdr:twoCellAnchor editAs="oneCell">
    <xdr:from>
      <xdr:col>14</xdr:col>
      <xdr:colOff>382323</xdr:colOff>
      <xdr:row>28</xdr:row>
      <xdr:rowOff>146844</xdr:rowOff>
    </xdr:from>
    <xdr:to>
      <xdr:col>28</xdr:col>
      <xdr:colOff>316838</xdr:colOff>
      <xdr:row>47</xdr:row>
      <xdr:rowOff>172743</xdr:rowOff>
    </xdr:to>
    <xdr:pic>
      <xdr:nvPicPr>
        <xdr:cNvPr id="4" name="Picture 3">
          <a:extLst>
            <a:ext uri="{FF2B5EF4-FFF2-40B4-BE49-F238E27FC236}">
              <a16:creationId xmlns:a16="http://schemas.microsoft.com/office/drawing/2014/main" id="{9BF3F487-F575-45B5-9A90-CD697E25E493}"/>
            </a:ext>
          </a:extLst>
        </xdr:cNvPr>
        <xdr:cNvPicPr>
          <a:picLocks noChangeAspect="1"/>
        </xdr:cNvPicPr>
      </xdr:nvPicPr>
      <xdr:blipFill>
        <a:blip xmlns:r="http://schemas.openxmlformats.org/officeDocument/2006/relationships" r:embed="rId3"/>
        <a:stretch>
          <a:fillRect/>
        </a:stretch>
      </xdr:blipFill>
      <xdr:spPr>
        <a:xfrm>
          <a:off x="11326548" y="5166519"/>
          <a:ext cx="8472090" cy="36453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9525</xdr:colOff>
      <xdr:row>2</xdr:row>
      <xdr:rowOff>38100</xdr:rowOff>
    </xdr:from>
    <xdr:to>
      <xdr:col>21</xdr:col>
      <xdr:colOff>152878</xdr:colOff>
      <xdr:row>26</xdr:row>
      <xdr:rowOff>6984</xdr:rowOff>
    </xdr:to>
    <xdr:pic>
      <xdr:nvPicPr>
        <xdr:cNvPr id="4" name="Picture 3">
          <a:extLst>
            <a:ext uri="{FF2B5EF4-FFF2-40B4-BE49-F238E27FC236}">
              <a16:creationId xmlns:a16="http://schemas.microsoft.com/office/drawing/2014/main" id="{BB96A85A-CE53-4A8A-8BE6-54BA6F6B179A}"/>
            </a:ext>
          </a:extLst>
        </xdr:cNvPr>
        <xdr:cNvPicPr>
          <a:picLocks noChangeAspect="1"/>
        </xdr:cNvPicPr>
      </xdr:nvPicPr>
      <xdr:blipFill>
        <a:blip xmlns:r="http://schemas.openxmlformats.org/officeDocument/2006/relationships" r:embed="rId1"/>
        <a:stretch>
          <a:fillRect/>
        </a:stretch>
      </xdr:blipFill>
      <xdr:spPr>
        <a:xfrm>
          <a:off x="5095875" y="419100"/>
          <a:ext cx="6648928" cy="4540884"/>
        </a:xfrm>
        <a:prstGeom prst="rect">
          <a:avLst/>
        </a:prstGeom>
      </xdr:spPr>
    </xdr:pic>
    <xdr:clientData/>
  </xdr:twoCellAnchor>
  <xdr:twoCellAnchor editAs="oneCell">
    <xdr:from>
      <xdr:col>12</xdr:col>
      <xdr:colOff>9525</xdr:colOff>
      <xdr:row>27</xdr:row>
      <xdr:rowOff>38100</xdr:rowOff>
    </xdr:from>
    <xdr:to>
      <xdr:col>18</xdr:col>
      <xdr:colOff>144910</xdr:colOff>
      <xdr:row>49</xdr:row>
      <xdr:rowOff>140300</xdr:rowOff>
    </xdr:to>
    <xdr:pic>
      <xdr:nvPicPr>
        <xdr:cNvPr id="5" name="Picture 4">
          <a:extLst>
            <a:ext uri="{FF2B5EF4-FFF2-40B4-BE49-F238E27FC236}">
              <a16:creationId xmlns:a16="http://schemas.microsoft.com/office/drawing/2014/main" id="{9EE6C546-1748-4EE8-A472-BD93B4283A91}"/>
            </a:ext>
          </a:extLst>
        </xdr:cNvPr>
        <xdr:cNvPicPr>
          <a:picLocks noChangeAspect="1"/>
        </xdr:cNvPicPr>
      </xdr:nvPicPr>
      <xdr:blipFill>
        <a:blip xmlns:r="http://schemas.openxmlformats.org/officeDocument/2006/relationships" r:embed="rId2"/>
        <a:stretch>
          <a:fillRect/>
        </a:stretch>
      </xdr:blipFill>
      <xdr:spPr>
        <a:xfrm>
          <a:off x="5095875" y="5181600"/>
          <a:ext cx="4812160" cy="4293200"/>
        </a:xfrm>
        <a:prstGeom prst="rect">
          <a:avLst/>
        </a:prstGeom>
      </xdr:spPr>
    </xdr:pic>
    <xdr:clientData/>
  </xdr:twoCellAnchor>
  <xdr:twoCellAnchor editAs="oneCell">
    <xdr:from>
      <xdr:col>12</xdr:col>
      <xdr:colOff>9525</xdr:colOff>
      <xdr:row>51</xdr:row>
      <xdr:rowOff>38100</xdr:rowOff>
    </xdr:from>
    <xdr:to>
      <xdr:col>18</xdr:col>
      <xdr:colOff>608525</xdr:colOff>
      <xdr:row>69</xdr:row>
      <xdr:rowOff>114789</xdr:rowOff>
    </xdr:to>
    <xdr:pic>
      <xdr:nvPicPr>
        <xdr:cNvPr id="6" name="Picture 5">
          <a:extLst>
            <a:ext uri="{FF2B5EF4-FFF2-40B4-BE49-F238E27FC236}">
              <a16:creationId xmlns:a16="http://schemas.microsoft.com/office/drawing/2014/main" id="{E5F3A8EB-8AE2-4964-B9FE-E8D3C883ED33}"/>
            </a:ext>
          </a:extLst>
        </xdr:cNvPr>
        <xdr:cNvPicPr>
          <a:picLocks noChangeAspect="1"/>
        </xdr:cNvPicPr>
      </xdr:nvPicPr>
      <xdr:blipFill>
        <a:blip xmlns:r="http://schemas.openxmlformats.org/officeDocument/2006/relationships" r:embed="rId3"/>
        <a:stretch>
          <a:fillRect/>
        </a:stretch>
      </xdr:blipFill>
      <xdr:spPr>
        <a:xfrm>
          <a:off x="5095875" y="9753600"/>
          <a:ext cx="5275775" cy="3505689"/>
        </a:xfrm>
        <a:prstGeom prst="rect">
          <a:avLst/>
        </a:prstGeom>
      </xdr:spPr>
    </xdr:pic>
    <xdr:clientData/>
  </xdr:twoCellAnchor>
  <xdr:twoCellAnchor editAs="oneCell">
    <xdr:from>
      <xdr:col>12</xdr:col>
      <xdr:colOff>9525</xdr:colOff>
      <xdr:row>70</xdr:row>
      <xdr:rowOff>38100</xdr:rowOff>
    </xdr:from>
    <xdr:to>
      <xdr:col>17</xdr:col>
      <xdr:colOff>7374</xdr:colOff>
      <xdr:row>90</xdr:row>
      <xdr:rowOff>140246</xdr:rowOff>
    </xdr:to>
    <xdr:pic>
      <xdr:nvPicPr>
        <xdr:cNvPr id="9" name="Picture 8">
          <a:extLst>
            <a:ext uri="{FF2B5EF4-FFF2-40B4-BE49-F238E27FC236}">
              <a16:creationId xmlns:a16="http://schemas.microsoft.com/office/drawing/2014/main" id="{C6E1D68B-BBFB-4EBB-BF8F-A47F518FF833}"/>
            </a:ext>
          </a:extLst>
        </xdr:cNvPr>
        <xdr:cNvPicPr>
          <a:picLocks noChangeAspect="1"/>
        </xdr:cNvPicPr>
      </xdr:nvPicPr>
      <xdr:blipFill>
        <a:blip xmlns:r="http://schemas.openxmlformats.org/officeDocument/2006/relationships" r:embed="rId4"/>
        <a:stretch>
          <a:fillRect/>
        </a:stretch>
      </xdr:blipFill>
      <xdr:spPr>
        <a:xfrm>
          <a:off x="5095875" y="13373100"/>
          <a:ext cx="4065023" cy="3912146"/>
        </a:xfrm>
        <a:prstGeom prst="rect">
          <a:avLst/>
        </a:prstGeom>
      </xdr:spPr>
    </xdr:pic>
    <xdr:clientData/>
  </xdr:twoCellAnchor>
  <xdr:twoCellAnchor editAs="oneCell">
    <xdr:from>
      <xdr:col>1</xdr:col>
      <xdr:colOff>265797</xdr:colOff>
      <xdr:row>54</xdr:row>
      <xdr:rowOff>916</xdr:rowOff>
    </xdr:from>
    <xdr:to>
      <xdr:col>8</xdr:col>
      <xdr:colOff>183491</xdr:colOff>
      <xdr:row>77</xdr:row>
      <xdr:rowOff>97022</xdr:rowOff>
    </xdr:to>
    <xdr:pic>
      <xdr:nvPicPr>
        <xdr:cNvPr id="8" name="Picture 1">
          <a:extLst>
            <a:ext uri="{FF2B5EF4-FFF2-40B4-BE49-F238E27FC236}">
              <a16:creationId xmlns:a16="http://schemas.microsoft.com/office/drawing/2014/main" id="{7E5A481C-77BB-4C1B-A55E-F39512D23464}"/>
            </a:ext>
          </a:extLst>
        </xdr:cNvPr>
        <xdr:cNvPicPr>
          <a:picLocks noChangeAspect="1"/>
        </xdr:cNvPicPr>
      </xdr:nvPicPr>
      <xdr:blipFill>
        <a:blip xmlns:r="http://schemas.openxmlformats.org/officeDocument/2006/relationships" r:embed="rId5"/>
        <a:stretch>
          <a:fillRect/>
        </a:stretch>
      </xdr:blipFill>
      <xdr:spPr>
        <a:xfrm>
          <a:off x="1475058" y="10213373"/>
          <a:ext cx="6407394" cy="44807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SFS\Exposure%20Packet%20as%20of%20February%202003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rlington\arlington\Documents%20and%20Settings\b145489\Local%20Settings\Temporary%20Internet%20Files\OLKB2\Purchase%20Accounting%20Run%20Off%2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rlington\arlington\WINNT\Loco%20Depr%20F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Z:\Current\CurrentProperty\2006%20Depr%20Recal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rlington\arlington\CONTROLLER\Plan\Debt1\Debt\Other\UAM_2750%20FY20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rlington\arlington\MN\MN%20-%20BNSF%20TIGER%202014\400-Technical\402%20BCA\New%20Analysis%20Network%20Grade%20Crossings\MGCAM12032009%20-%20Test42614_Staples1.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rlington\arlington\Users\SanthanamS\Documents\Projects\ECON_ARL\US76-MS-INFRA\template\WisDOT_MARS_CRIS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V:\CONTROLLER\AcctFin%20Report\Internal%20Rptg\CBS\2009\4th%20Quarter\CBS%20-%20Q4%2020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NCDOT%20INFRA%202019\O&amp;M\I-95%20Maintenance%20Cost%20I-95%20Exit%2013%20to%20Exit%2019%20existing%20(00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rlington\arlington\CONTROLLER\Property%20Accounting\Reporting%20&amp;%20Analysis\Annual%20Reports\2006\R-1\330\Diverted%20W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aecom.sharepoint.com/Users/smelvin/Desktop/smelvin/Documents/Documents/Projects/Bidding%20Files/#Division 4B Bidding Files/950014/balance_shee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01-Projects\91821%20NCDOT%20SPOT%206%20Initiation\NCDOT%20Deliverables\Intersection%20Analysis%20Utility%20(IAU)\IAU_2018_Gen3.3%20-%2011-21-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1 Portfolio Selling Costs"/>
      <sheetName val="A-2 Asset Disposition - Road"/>
      <sheetName val="A-2A Equipment Disposition"/>
      <sheetName val="A-2B Asset Disposition - Equip"/>
      <sheetName val="A-2B Equipment Disposition"/>
      <sheetName val="A-2C Amory South"/>
      <sheetName val="A-3 Star Lake Railroad"/>
      <sheetName val="A-4 At&amp;T Easement Refund"/>
      <sheetName val="A-5 Loco Overhal Accrual"/>
      <sheetName val="A-5a Overhaul Accrl"/>
      <sheetName val="A-6 CBM"/>
      <sheetName val="A-6a CBM Accounting Issues"/>
      <sheetName val="A-7 Depreciation Expense"/>
      <sheetName val="A-7a 2003 Depreciation"/>
      <sheetName val="A-8 Depr Rate Study"/>
      <sheetName val="A-7c Road Retirements"/>
      <sheetName val="A-7d Equip Retirements"/>
      <sheetName val="A-9 ARO"/>
      <sheetName val="A-10 Easement Sales"/>
      <sheetName val="A-11 Balance Sheet Recons"/>
      <sheetName val="A-11a Balance Sheet Recons"/>
      <sheetName val="DataValid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Comparisons"/>
      <sheetName val="Annual Amort"/>
      <sheetName val="Runoff 2003 On"/>
      <sheetName val="2003 - 2016"/>
      <sheetName val="2003 - 2329"/>
      <sheetName val="2002 EB"/>
      <sheetName val="2001 EB"/>
      <sheetName val="PA Run Off"/>
      <sheetName val="1995"/>
      <sheetName val="1998"/>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o Depr"/>
      <sheetName val="Jul29 changes"/>
      <sheetName val="SD70MACs_By unit"/>
      <sheetName val="By AFE#"/>
      <sheetName val="LocoRate"/>
    </sheetNames>
    <sheetDataSet>
      <sheetData sheetId="0" refreshError="1"/>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Change Tracking"/>
      <sheetName val="Rate file"/>
      <sheetName val="Sep 06 Data"/>
      <sheetName val="Oct 06 Data"/>
      <sheetName val="Nov 06 Data"/>
      <sheetName val="Dec 06 Data"/>
      <sheetName val="Sep 06 Calc"/>
      <sheetName val="Oct 06 Calc"/>
      <sheetName val="Nov 06 Calc"/>
      <sheetName val="Dec 06 Calc"/>
      <sheetName val="Change_Tracking"/>
      <sheetName val="Rate_file"/>
      <sheetName val="Sep_06_Data"/>
      <sheetName val="Oct_06_Data"/>
      <sheetName val="Nov_06_Data"/>
      <sheetName val="Dec_06_Data"/>
      <sheetName val="Sep_06_Calc"/>
      <sheetName val="Oct_06_Calc"/>
      <sheetName val="Nov_06_Calc"/>
      <sheetName val="Dec_06_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uary 08"/>
      <sheetName val="February 08"/>
      <sheetName val="March 08"/>
      <sheetName val="April 08"/>
      <sheetName val="May 08"/>
      <sheetName val="June 08"/>
      <sheetName val="July 08"/>
      <sheetName val="August 08"/>
      <sheetName val="September 08"/>
      <sheetName val="October 08"/>
      <sheetName val="November 08"/>
      <sheetName val="YTD08"/>
      <sheetName val="December 08"/>
      <sheetName val="Journal Entry"/>
      <sheetName val="Non-Cash Entry"/>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Overview &amp; Paramters"/>
      <sheetName val="Spreadsheet Overview"/>
      <sheetName val="Data Dictionary"/>
      <sheetName val="Assumptions"/>
      <sheetName val="Improvement Types"/>
      <sheetName val="Data"/>
      <sheetName val="Crossing Improvements"/>
      <sheetName val="Model"/>
      <sheetName val="Crossing Model Summary"/>
      <sheetName val="County Level Summary"/>
      <sheetName val="Summary"/>
      <sheetName val="Summary wo Surfacing"/>
      <sheetName val="EF Calcs"/>
      <sheetName val="Accident Calcs"/>
      <sheetName val="Delay &amp; Time-in-Queue"/>
      <sheetName val="VOC &amp; Emissions Savings"/>
      <sheetName val="CPI Raw Data"/>
      <sheetName val="PPI Raw Data"/>
      <sheetName val="hpms_2007"/>
      <sheetName val="ACCIDENT DATA 2000"/>
      <sheetName val="ACCIDENT DATA 2001"/>
      <sheetName val="ACCIDENT DATA 2002"/>
      <sheetName val="ACCIDENT DATA 2003"/>
      <sheetName val="ACCIDENT DATA 2004"/>
      <sheetName val="ACCIDENT DATA 2005"/>
      <sheetName val="ACCIDENT DATA 2006"/>
      <sheetName val="ACCIDENT DATA 2007"/>
      <sheetName val="ACCIDENT DATA 2008"/>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Matrix"/>
      <sheetName val="CapitalCosts"/>
      <sheetName val="O&amp;MCosts"/>
      <sheetName val="Inputs"/>
      <sheetName val="Reduced VMT"/>
      <sheetName val="TravelTimeSavings"/>
      <sheetName val="Residual"/>
      <sheetName val="CongestionSavings"/>
      <sheetName val="FreightBenefits"/>
      <sheetName val="RoadwayMaintenanceSavings"/>
      <sheetName val="TravelCostSavings"/>
      <sheetName val="Safety"/>
      <sheetName val="ReducedEmissions"/>
      <sheetName val="Deflator"/>
      <sheetName val="NetworkTimeSavings"/>
      <sheetName val="HiawathaRidership"/>
      <sheetName val="Delay Codes"/>
      <sheetName val="EmpireBuilderRidership"/>
      <sheetName val="Emissions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CBS"/>
      <sheetName val="Signature-not used"/>
      <sheetName val="Q4 09 BS Leads"/>
      <sheetName val="Current"/>
      <sheetName val="PPE-Other Current 10-Q Recon"/>
      <sheetName val="Current 10-K Recon"/>
      <sheetName val="12.31.08"/>
      <sheetName val="12.31.08 10-K Recon"/>
      <sheetName val="12.31.08 PPE 10-K Recon"/>
      <sheetName val="Q3 09 Rail BS Leads"/>
      <sheetName val="Q2 09 Rail BS Leads"/>
      <sheetName val="PriorQ4"/>
      <sheetName val="PriorQ3"/>
      <sheetName val="Prior Q2"/>
      <sheetName val="PriorQ1"/>
      <sheetName val="PPE-Other Q3-09 10-Q Recon"/>
      <sheetName val="PPE-Other Q2-09 10-Q Recon"/>
      <sheetName val="PPE-Other Sep08 10-Q Recon"/>
      <sheetName val="Prior 10-Q Recon"/>
      <sheetName val="R-1 220"/>
      <sheetName val="R-1 220 revised 021710"/>
      <sheetName val="R-1 220 revised 022610"/>
      <sheetName val="220 Support"/>
      <sheetName val="R-1 230"/>
      <sheetName val="R-1 460"/>
      <sheetName val="Variance Analysis Q409 vs Q408"/>
      <sheetName val="Variance Analysis-old"/>
      <sheetName val="Q3.09 vs Q3.08 &amp; Q4.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Inputs"/>
      <sheetName val="Maintenance Calculations"/>
      <sheetName val="Roadway Maintenance (M)"/>
      <sheetName val="Renewal &amp; Replacement (R&amp;R)"/>
      <sheetName val="Summary "/>
      <sheetName val="bridge"/>
      <sheetName val="Ramp"/>
    </sheetNames>
    <sheetDataSet>
      <sheetData sheetId="0" refreshError="1"/>
      <sheetData sheetId="1"/>
      <sheetData sheetId="2" refreshError="1"/>
      <sheetData sheetId="3"/>
      <sheetData sheetId="4"/>
      <sheetData sheetId="5"/>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C Conversion"/>
      <sheetName val="Historical"/>
      <sheetName val="Current"/>
      <sheetName val="Sheet3"/>
    </sheetNames>
    <sheetDataSet>
      <sheetData sheetId="0"/>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totals"/>
      <sheetName val="2 Subtotals"/>
      <sheetName val="County"/>
    </sheetNames>
    <sheetDataSet>
      <sheetData sheetId="0" refreshError="1"/>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ant"/>
      <sheetName val="Directional"/>
      <sheetName val="5-leg"/>
      <sheetName val="Quadrant (Interpolation)"/>
      <sheetName val="Directional (Interpolation)"/>
      <sheetName val="Quadrant (AM_PM)"/>
      <sheetName val="Sheet1"/>
      <sheetName val="Directional (AM_PM)"/>
      <sheetName val="Quadrant (AM_PM)(Interpolation)"/>
      <sheetName val="Directional (AM_PM)(Interp)"/>
      <sheetName val="Quadrant (AM_PM) (2)"/>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CCC1E26-0595-41CE-B56B-5EB01E7F4631}" name="Table1" displayName="Table1" ref="A2:J10" totalsRowCount="1" headerRowDxfId="2">
  <autoFilter ref="A2:J9" xr:uid="{ECCC1E26-0595-41CE-B56B-5EB01E7F4631}"/>
  <tableColumns count="10">
    <tableColumn id="1" xr3:uid="{6B487860-CF8B-44B4-8383-42104E9938FE}" name="Section"/>
    <tableColumn id="2" xr3:uid="{E1FAE394-CC62-41FB-AE62-7AF24E5D13B1}" name="Previously Incurred Costs" dataDxfId="1" totalsRowDxfId="0">
      <calculatedColumnFormula>B12</calculatedColumnFormula>
    </tableColumn>
    <tableColumn id="3" xr3:uid="{1EA0C97A-17B6-486B-B355-A50F17490918}" name="Preliminary Engineering"/>
    <tableColumn id="4" xr3:uid="{14E7A4CE-D17F-487C-8690-3F9C5594BF55}" name="ROW"/>
    <tableColumn id="5" xr3:uid="{5C17C126-4043-47CC-8F56-5B5744791EEB}" name="Utilities"/>
    <tableColumn id="6" xr3:uid="{922B74CE-0332-4277-8A0B-2A283A4627AC}" name="Total Construction"/>
    <tableColumn id="11" xr3:uid="{424E126A-93C4-423B-A03F-CCCF3BBB8CC6}" name="ADHS Funding"/>
    <tableColumn id="10" xr3:uid="{DF4E80C4-A2C6-455D-9342-EC7E2823F4F5}" name="Total Grant Eligible Costs"/>
    <tableColumn id="8" xr3:uid="{C6AFF88A-F65A-4051-89CF-C3D9C3B26B7A}" name="Funding Sources"/>
    <tableColumn id="7" xr3:uid="{E5778D20-993D-4759-A40E-950D9CE24B24}" name="Notes"/>
  </tableColumns>
  <tableStyleInfo name="TableStyleMedium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bea.gov/scb/account_articles/national/wlth2594/tableC.htm"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7.bin"/><Relationship Id="rId1" Type="http://schemas.openxmlformats.org/officeDocument/2006/relationships/hyperlink" Target="https://ncdot.maps.arcgis.com/apps/webappviewer/index.html?id=964881960f0549de8c3583bf46ef5ed4"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arb.ca.gov/emfac/emissions-inventory/747eda1236e185f07668f8c5fabd093d532c0f50"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whitehouse.gov/wp-content/uploads/2022/03/hist10z1_fy2023.xlsx"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codot.gov/programs/research/pdfs/2022/wildlife-prioritization/eswps-bca-instructions" TargetMode="External"/><Relationship Id="rId1" Type="http://schemas.openxmlformats.org/officeDocument/2006/relationships/hyperlink" Target="https://codot.gov/programs/research/pdfs/2022/wildlife-prioritization/eswps-bca-instructions"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6" tint="0.59999389629810485"/>
  </sheetPr>
  <dimension ref="A2:Q39"/>
  <sheetViews>
    <sheetView zoomScale="85" zoomScaleNormal="85" workbookViewId="0">
      <selection activeCell="E12" sqref="E12"/>
    </sheetView>
  </sheetViews>
  <sheetFormatPr defaultRowHeight="14.5" x14ac:dyDescent="0.35"/>
  <cols>
    <col min="2" max="2" width="40.453125" style="34" customWidth="1"/>
    <col min="3" max="3" width="26.26953125" style="34" customWidth="1"/>
    <col min="4" max="4" width="13.26953125" customWidth="1"/>
    <col min="10" max="17" width="9.26953125" customWidth="1"/>
  </cols>
  <sheetData>
    <row r="2" spans="1:17" x14ac:dyDescent="0.35">
      <c r="B2" s="253"/>
      <c r="C2" s="53" t="s">
        <v>101</v>
      </c>
    </row>
    <row r="3" spans="1:17" x14ac:dyDescent="0.35">
      <c r="B3" s="71" t="s">
        <v>102</v>
      </c>
      <c r="C3" s="71" t="s">
        <v>103</v>
      </c>
    </row>
    <row r="4" spans="1:17" x14ac:dyDescent="0.35">
      <c r="B4" s="71"/>
      <c r="C4" s="71" t="str">
        <f>Inputs!B7+1&amp;"-"&amp;(Inputs!B7+Inputs!B8)</f>
        <v>2028-2047</v>
      </c>
      <c r="J4" s="68"/>
    </row>
    <row r="5" spans="1:17" x14ac:dyDescent="0.35">
      <c r="B5" s="403" t="s">
        <v>104</v>
      </c>
      <c r="C5" s="403"/>
      <c r="J5" s="68"/>
    </row>
    <row r="6" spans="1:17" x14ac:dyDescent="0.35">
      <c r="B6" s="104" t="s">
        <v>105</v>
      </c>
      <c r="C6" s="102">
        <f>'CapitalCosts '!D33/10^6</f>
        <v>241.18884</v>
      </c>
      <c r="J6" s="68"/>
    </row>
    <row r="7" spans="1:17" x14ac:dyDescent="0.35">
      <c r="B7" s="204" t="s">
        <v>106</v>
      </c>
      <c r="C7" s="205">
        <f t="shared" ref="C7" si="0">C6</f>
        <v>241.18884</v>
      </c>
      <c r="J7" s="68"/>
    </row>
    <row r="8" spans="1:17" x14ac:dyDescent="0.35">
      <c r="B8" s="403" t="s">
        <v>107</v>
      </c>
      <c r="C8" s="403"/>
      <c r="J8" s="68"/>
    </row>
    <row r="9" spans="1:17" x14ac:dyDescent="0.35">
      <c r="B9" s="103" t="s">
        <v>108</v>
      </c>
      <c r="C9" s="71"/>
      <c r="J9" s="68"/>
    </row>
    <row r="10" spans="1:17" x14ac:dyDescent="0.35">
      <c r="A10" s="70"/>
      <c r="B10" s="104" t="s">
        <v>109</v>
      </c>
      <c r="C10" s="102">
        <f>Safety!J44/10^6</f>
        <v>37.625202804371256</v>
      </c>
      <c r="J10" s="68"/>
    </row>
    <row r="11" spans="1:17" x14ac:dyDescent="0.35">
      <c r="A11" s="70"/>
      <c r="B11" s="104" t="s">
        <v>110</v>
      </c>
      <c r="C11" s="102">
        <f>EmergencyServices!C65/10^6</f>
        <v>11.455023114974514</v>
      </c>
      <c r="J11" s="68"/>
    </row>
    <row r="12" spans="1:17" x14ac:dyDescent="0.35">
      <c r="A12" s="70"/>
      <c r="B12" s="104" t="s">
        <v>111</v>
      </c>
      <c r="C12" s="335">
        <f>'Wildlife Safety'!E41/10^6</f>
        <v>1.5602049725619866E-2</v>
      </c>
      <c r="J12" s="68"/>
    </row>
    <row r="13" spans="1:17" x14ac:dyDescent="0.35">
      <c r="B13" s="105" t="s">
        <v>112</v>
      </c>
      <c r="C13" s="102">
        <f>SUM(C10:C12)</f>
        <v>49.095827969071394</v>
      </c>
      <c r="J13" s="68"/>
    </row>
    <row r="14" spans="1:17" x14ac:dyDescent="0.35">
      <c r="B14" s="103" t="s">
        <v>43</v>
      </c>
      <c r="C14" s="71"/>
      <c r="J14" s="285"/>
      <c r="K14" s="285"/>
      <c r="L14" s="285"/>
      <c r="M14" s="285"/>
      <c r="N14" s="285"/>
      <c r="O14" s="285"/>
      <c r="P14" s="285"/>
      <c r="Q14" s="285"/>
    </row>
    <row r="15" spans="1:17" x14ac:dyDescent="0.35">
      <c r="A15" s="70"/>
      <c r="B15" s="106" t="s">
        <v>113</v>
      </c>
      <c r="C15" s="102">
        <f>TT_Savings!F37/10^6</f>
        <v>54.313065000000002</v>
      </c>
      <c r="J15" s="285"/>
      <c r="K15" s="285"/>
      <c r="L15" s="285"/>
      <c r="M15" s="285"/>
      <c r="N15" s="285"/>
      <c r="O15" s="285"/>
      <c r="P15" s="285"/>
      <c r="Q15" s="285"/>
    </row>
    <row r="16" spans="1:17" x14ac:dyDescent="0.35">
      <c r="A16" s="70"/>
      <c r="B16" s="106" t="s">
        <v>114</v>
      </c>
      <c r="C16" s="102">
        <f>TT_Savings!L37/10^6</f>
        <v>3.5776539999999999</v>
      </c>
      <c r="J16" s="285"/>
      <c r="K16" s="285"/>
      <c r="L16" s="285"/>
      <c r="M16" s="285"/>
      <c r="N16" s="285"/>
      <c r="O16" s="285"/>
      <c r="P16" s="285"/>
      <c r="Q16" s="285"/>
    </row>
    <row r="17" spans="1:17" x14ac:dyDescent="0.35">
      <c r="A17" s="70"/>
      <c r="B17" s="106" t="s">
        <v>115</v>
      </c>
      <c r="C17" s="102">
        <f>TT_Savings!R37/10^6</f>
        <v>5.4261100000000004</v>
      </c>
      <c r="J17" s="285"/>
      <c r="K17" s="285"/>
      <c r="L17" s="285"/>
      <c r="M17" s="285"/>
      <c r="N17" s="285"/>
      <c r="O17" s="285"/>
      <c r="P17" s="285"/>
      <c r="Q17" s="285"/>
    </row>
    <row r="18" spans="1:17" x14ac:dyDescent="0.35">
      <c r="A18" s="70"/>
      <c r="B18" s="106" t="s">
        <v>116</v>
      </c>
      <c r="C18" s="102">
        <f>SUM(SignalCoord!J39/10^6)</f>
        <v>3.000378</v>
      </c>
      <c r="D18" s="182"/>
      <c r="J18" s="285"/>
      <c r="K18" s="285"/>
      <c r="L18" s="285"/>
      <c r="M18" s="285"/>
      <c r="N18" s="285"/>
      <c r="O18" s="285"/>
      <c r="P18" s="285"/>
      <c r="Q18" s="285"/>
    </row>
    <row r="19" spans="1:17" x14ac:dyDescent="0.35">
      <c r="A19" s="70"/>
      <c r="B19" s="106" t="s">
        <v>117</v>
      </c>
      <c r="C19" s="102">
        <f>'Maint Delays Avoidance'!L42/10^6</f>
        <v>12.029724999999999</v>
      </c>
      <c r="J19" s="285"/>
      <c r="K19" s="285"/>
      <c r="L19" s="285"/>
      <c r="M19" s="285"/>
      <c r="N19" s="285"/>
      <c r="O19" s="285"/>
      <c r="P19" s="285"/>
      <c r="Q19" s="285"/>
    </row>
    <row r="20" spans="1:17" x14ac:dyDescent="0.35">
      <c r="A20" s="70"/>
      <c r="B20" s="106" t="s">
        <v>118</v>
      </c>
      <c r="C20" s="102">
        <f>('DMS Delay Avoidance'!H40+'DMS Delay Avoidance'!K40)/10^6</f>
        <v>68.530015000000006</v>
      </c>
      <c r="J20" s="285"/>
      <c r="K20" s="285"/>
      <c r="L20" s="285"/>
      <c r="M20" s="285"/>
      <c r="N20" s="285"/>
      <c r="O20" s="285"/>
      <c r="P20" s="285"/>
      <c r="Q20" s="285"/>
    </row>
    <row r="21" spans="1:17" x14ac:dyDescent="0.35">
      <c r="A21" s="70"/>
      <c r="B21" s="106" t="s">
        <v>119</v>
      </c>
      <c r="C21" s="102">
        <f>AgAccess!E38/10^6</f>
        <v>29.035688238045211</v>
      </c>
      <c r="J21" s="285"/>
      <c r="K21" s="285"/>
      <c r="L21" s="285"/>
      <c r="M21" s="285"/>
      <c r="N21" s="285"/>
      <c r="O21" s="285"/>
      <c r="P21" s="285"/>
      <c r="Q21" s="285"/>
    </row>
    <row r="22" spans="1:17" x14ac:dyDescent="0.35">
      <c r="B22" s="105" t="s">
        <v>112</v>
      </c>
      <c r="C22" s="102">
        <f>SUM(C15:C21)</f>
        <v>175.91263523804525</v>
      </c>
      <c r="J22" s="285"/>
      <c r="K22" s="285"/>
      <c r="L22" s="285"/>
      <c r="M22" s="285"/>
      <c r="N22" s="285"/>
      <c r="O22" s="285"/>
      <c r="P22" s="285"/>
      <c r="Q22" s="285"/>
    </row>
    <row r="23" spans="1:17" x14ac:dyDescent="0.35">
      <c r="B23" s="103" t="s">
        <v>120</v>
      </c>
      <c r="C23" s="102"/>
      <c r="J23" s="68"/>
      <c r="K23" s="68"/>
    </row>
    <row r="24" spans="1:17" x14ac:dyDescent="0.35">
      <c r="A24" s="70"/>
      <c r="B24" s="106" t="s">
        <v>121</v>
      </c>
      <c r="C24" s="102">
        <f>SUM(('Emissions-Idling'!R59+'Emissions-Idling'!O36)/10^6)</f>
        <v>1.99057</v>
      </c>
    </row>
    <row r="25" spans="1:17" x14ac:dyDescent="0.35">
      <c r="B25" s="105" t="s">
        <v>112</v>
      </c>
      <c r="C25" s="108">
        <f>SUM(C24:C24)</f>
        <v>1.99057</v>
      </c>
      <c r="J25" s="285"/>
      <c r="K25" s="285"/>
      <c r="L25" s="285"/>
      <c r="M25" s="285"/>
      <c r="N25" s="285"/>
      <c r="O25" s="285"/>
      <c r="P25" s="285"/>
      <c r="Q25" s="285"/>
    </row>
    <row r="26" spans="1:17" x14ac:dyDescent="0.35">
      <c r="B26" s="103" t="s">
        <v>122</v>
      </c>
      <c r="C26" s="108"/>
      <c r="J26" s="285"/>
      <c r="K26" s="285"/>
      <c r="L26" s="285"/>
      <c r="M26" s="285"/>
      <c r="N26" s="285"/>
      <c r="O26" s="285"/>
      <c r="P26" s="285"/>
      <c r="Q26" s="285"/>
    </row>
    <row r="27" spans="1:17" x14ac:dyDescent="0.35">
      <c r="A27" s="70"/>
      <c r="B27" s="106" t="s">
        <v>123</v>
      </c>
      <c r="C27" s="102">
        <f>ParatransitTT_Savings!H37/10^6</f>
        <v>0.33484000000000003</v>
      </c>
      <c r="J27" s="285"/>
      <c r="K27" s="285"/>
      <c r="L27" s="285"/>
      <c r="M27" s="285"/>
      <c r="N27" s="285"/>
      <c r="O27" s="285"/>
      <c r="P27" s="285"/>
      <c r="Q27" s="285"/>
    </row>
    <row r="28" spans="1:17" x14ac:dyDescent="0.35">
      <c r="B28" s="105" t="s">
        <v>112</v>
      </c>
      <c r="C28" s="108">
        <f>C27</f>
        <v>0.33484000000000003</v>
      </c>
      <c r="J28" s="285"/>
      <c r="K28" s="285"/>
      <c r="L28" s="285"/>
      <c r="M28" s="285"/>
      <c r="N28" s="285"/>
      <c r="O28" s="285"/>
      <c r="P28" s="285"/>
      <c r="Q28" s="285"/>
    </row>
    <row r="29" spans="1:17" x14ac:dyDescent="0.35">
      <c r="B29" s="103" t="s">
        <v>124</v>
      </c>
      <c r="C29" s="102"/>
      <c r="J29" s="285"/>
      <c r="K29" s="285"/>
      <c r="L29" s="285"/>
      <c r="M29" s="285"/>
      <c r="N29" s="285"/>
      <c r="O29" s="285"/>
      <c r="P29" s="285"/>
      <c r="Q29" s="285"/>
    </row>
    <row r="30" spans="1:17" x14ac:dyDescent="0.35">
      <c r="A30" s="70"/>
      <c r="B30" s="106" t="s">
        <v>125</v>
      </c>
      <c r="C30" s="102">
        <f>SUM(('Non-Motorist Savings'!E68+'Non-Motorist Savings'!E43)/10^6)</f>
        <v>0.15470300000000001</v>
      </c>
      <c r="J30" s="285"/>
      <c r="K30" s="285"/>
      <c r="L30" s="285"/>
      <c r="M30" s="285"/>
      <c r="N30" s="285"/>
      <c r="O30" s="285"/>
      <c r="P30" s="285"/>
      <c r="Q30" s="285"/>
    </row>
    <row r="31" spans="1:17" x14ac:dyDescent="0.35">
      <c r="B31" s="105" t="s">
        <v>112</v>
      </c>
      <c r="C31" s="108">
        <f>SUM(C30)</f>
        <v>0.15470300000000001</v>
      </c>
    </row>
    <row r="32" spans="1:17" x14ac:dyDescent="0.35">
      <c r="B32" s="103" t="s">
        <v>126</v>
      </c>
      <c r="C32" s="71"/>
    </row>
    <row r="33" spans="1:11" x14ac:dyDescent="0.35">
      <c r="A33" s="70"/>
      <c r="B33" s="106" t="s">
        <v>127</v>
      </c>
      <c r="C33" s="102">
        <f>'O&amp;M_Costs'!H34/10^6</f>
        <v>8.8398679999999992</v>
      </c>
      <c r="D33" s="182"/>
      <c r="J33" s="68"/>
    </row>
    <row r="34" spans="1:11" x14ac:dyDescent="0.35">
      <c r="A34" s="70"/>
      <c r="B34" s="106" t="s">
        <v>128</v>
      </c>
      <c r="C34" s="102">
        <f>Residual!F20/10^6</f>
        <v>28.947918904312825</v>
      </c>
      <c r="J34" s="68"/>
      <c r="K34" s="68"/>
    </row>
    <row r="35" spans="1:11" x14ac:dyDescent="0.35">
      <c r="B35" s="105" t="s">
        <v>112</v>
      </c>
      <c r="C35" s="102">
        <f>SUM(C33:C34)</f>
        <v>37.787786904312824</v>
      </c>
      <c r="J35" s="68"/>
      <c r="K35" s="68"/>
    </row>
    <row r="36" spans="1:11" x14ac:dyDescent="0.35">
      <c r="B36" s="184" t="s">
        <v>129</v>
      </c>
      <c r="C36" s="332">
        <f>SUM(C31,C25,C35,C22,C13,C28)</f>
        <v>265.27636311142942</v>
      </c>
      <c r="D36" s="182"/>
    </row>
    <row r="37" spans="1:11" x14ac:dyDescent="0.35">
      <c r="B37" s="403" t="s">
        <v>130</v>
      </c>
      <c r="C37" s="403"/>
    </row>
    <row r="38" spans="1:11" x14ac:dyDescent="0.35">
      <c r="B38" s="185" t="s">
        <v>131</v>
      </c>
      <c r="C38" s="186">
        <f>C36-C7</f>
        <v>24.087523111429419</v>
      </c>
    </row>
    <row r="39" spans="1:11" x14ac:dyDescent="0.35">
      <c r="B39" s="103" t="s">
        <v>132</v>
      </c>
      <c r="C39" s="107">
        <f>C36/C7</f>
        <v>1.099869973716153</v>
      </c>
    </row>
  </sheetData>
  <sheetProtection algorithmName="SHA-512" hashValue="vwBG+zzkHXr2anoVbbqu0lcrl/XvXDtItvUMWcoCvlhbB1CUG+A8ytM95XWJ2HTD9mHD2W3ovoZ5VoOD7AahpQ==" saltValue="P511lYt383W/QAZ0Wvf5RQ==" spinCount="100000" sheet="1" objects="1" scenarios="1"/>
  <mergeCells count="3">
    <mergeCell ref="B37:C37"/>
    <mergeCell ref="B5:C5"/>
    <mergeCell ref="B8:C8"/>
  </mergeCells>
  <phoneticPr fontId="51"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F268C-4666-407D-9789-FC1915CA4722}">
  <dimension ref="A1:AR40"/>
  <sheetViews>
    <sheetView zoomScaleNormal="100" workbookViewId="0">
      <selection activeCell="E12" sqref="E12"/>
    </sheetView>
  </sheetViews>
  <sheetFormatPr defaultRowHeight="14.5" x14ac:dyDescent="0.35"/>
  <cols>
    <col min="1" max="1" width="10.7265625" style="9" customWidth="1"/>
    <col min="2" max="2" width="46.453125" customWidth="1"/>
    <col min="3" max="3" width="12.54296875" customWidth="1"/>
    <col min="4" max="5" width="11.26953125" customWidth="1"/>
    <col min="6" max="6" width="10.7265625" customWidth="1"/>
    <col min="7" max="7" width="18.26953125" customWidth="1"/>
    <col min="8" max="8" width="17" customWidth="1"/>
    <col min="9" max="9" width="11.54296875" customWidth="1"/>
    <col min="10" max="10" width="18" customWidth="1"/>
    <col min="11" max="11" width="17.26953125" customWidth="1"/>
    <col min="12" max="12" width="18.26953125" customWidth="1"/>
    <col min="13" max="13" width="14.54296875" customWidth="1"/>
    <col min="14" max="14" width="15.7265625" customWidth="1"/>
    <col min="15" max="15" width="18" customWidth="1"/>
    <col min="16" max="16" width="17.26953125" customWidth="1"/>
    <col min="17" max="17" width="18.26953125" customWidth="1"/>
    <col min="18" max="18" width="14.54296875" customWidth="1"/>
    <col min="19" max="19" width="15.7265625" customWidth="1"/>
    <col min="20" max="20" width="18" customWidth="1"/>
    <col min="21" max="21" width="17.26953125" customWidth="1"/>
    <col min="22" max="22" width="18.26953125" customWidth="1"/>
    <col min="23" max="23" width="14.54296875" customWidth="1"/>
    <col min="24" max="24" width="15.7265625" customWidth="1"/>
    <col min="25" max="25" width="18" customWidth="1"/>
    <col min="26" max="26" width="17.26953125" customWidth="1"/>
    <col min="27" max="27" width="18.26953125" customWidth="1"/>
    <col min="28" max="28" width="14.54296875" customWidth="1"/>
    <col min="29" max="29" width="15.7265625" customWidth="1"/>
    <col min="30" max="30" width="18" customWidth="1"/>
    <col min="31" max="31" width="17.26953125" customWidth="1"/>
    <col min="32" max="32" width="18.26953125" customWidth="1"/>
    <col min="33" max="33" width="14.54296875" customWidth="1"/>
    <col min="34" max="34" width="15.7265625" customWidth="1"/>
    <col min="35" max="35" width="18" customWidth="1"/>
    <col min="36" max="36" width="17.26953125" customWidth="1"/>
    <col min="37" max="37" width="18.26953125" customWidth="1"/>
    <col min="38" max="38" width="14.54296875" customWidth="1"/>
    <col min="39" max="39" width="15.7265625" customWidth="1"/>
    <col min="40" max="40" width="18" customWidth="1"/>
    <col min="41" max="41" width="17.26953125" customWidth="1"/>
    <col min="42" max="42" width="18.26953125" customWidth="1"/>
    <col min="43" max="43" width="14.54296875" customWidth="1"/>
    <col min="44" max="44" width="15.7265625" customWidth="1"/>
    <col min="45" max="45" width="18" customWidth="1"/>
    <col min="46" max="46" width="17.26953125" customWidth="1"/>
    <col min="47" max="47" width="18.26953125" customWidth="1"/>
    <col min="48" max="48" width="14.54296875" customWidth="1"/>
    <col min="49" max="49" width="15.7265625" customWidth="1"/>
    <col min="50" max="50" width="18" customWidth="1"/>
    <col min="51" max="51" width="17.26953125" customWidth="1"/>
    <col min="52" max="52" width="18.26953125" customWidth="1"/>
    <col min="53" max="53" width="14.54296875" customWidth="1"/>
    <col min="54" max="54" width="15.7265625" customWidth="1"/>
    <col min="55" max="55" width="18" customWidth="1"/>
    <col min="56" max="56" width="17.26953125" customWidth="1"/>
    <col min="57" max="57" width="18.26953125" customWidth="1"/>
    <col min="58" max="58" width="14.54296875" customWidth="1"/>
    <col min="59" max="59" width="15.7265625" customWidth="1"/>
    <col min="60" max="60" width="18" customWidth="1"/>
    <col min="61" max="61" width="17.26953125" customWidth="1"/>
    <col min="62" max="62" width="18.26953125" customWidth="1"/>
    <col min="63" max="63" width="14.54296875" customWidth="1"/>
    <col min="64" max="64" width="15.7265625" customWidth="1"/>
    <col min="16380" max="16380" width="8.7265625" bestFit="1" customWidth="1"/>
    <col min="16381" max="16384" width="8.7265625" customWidth="1"/>
  </cols>
  <sheetData>
    <row r="1" spans="1:44" x14ac:dyDescent="0.35">
      <c r="A1" s="401"/>
      <c r="B1" s="39" t="s">
        <v>861</v>
      </c>
    </row>
    <row r="2" spans="1:44" x14ac:dyDescent="0.35">
      <c r="B2" s="69"/>
      <c r="E2" s="68"/>
      <c r="F2" s="68"/>
      <c r="G2" s="68"/>
      <c r="H2" s="68"/>
    </row>
    <row r="3" spans="1:44" x14ac:dyDescent="0.35">
      <c r="B3" s="30" t="str">
        <f>Inputs!A3</f>
        <v xml:space="preserve">Discount Rate </v>
      </c>
      <c r="C3" s="269">
        <f>Inputs!B3</f>
        <v>7.0000000000000007E-2</v>
      </c>
    </row>
    <row r="4" spans="1:44" x14ac:dyDescent="0.35">
      <c r="B4" s="30" t="str">
        <f>Inputs!A10</f>
        <v>Discount year</v>
      </c>
      <c r="C4" s="26">
        <f>Inputs!B10</f>
        <v>2021</v>
      </c>
    </row>
    <row r="5" spans="1:44" x14ac:dyDescent="0.35">
      <c r="B5" s="30" t="str">
        <f>Inputs!A11</f>
        <v>Benefit Year</v>
      </c>
      <c r="C5" s="26">
        <f>Inputs!B11</f>
        <v>2028</v>
      </c>
    </row>
    <row r="6" spans="1:44" x14ac:dyDescent="0.35">
      <c r="B6" t="s">
        <v>20</v>
      </c>
      <c r="C6" s="34">
        <f>Inputs!B14</f>
        <v>320</v>
      </c>
    </row>
    <row r="7" spans="1:44" s="34" customFormat="1" x14ac:dyDescent="0.35">
      <c r="A7" s="119"/>
      <c r="B7" s="218" t="str">
        <f>Inputs!A23</f>
        <v xml:space="preserve">US 74 closure or detours per year </v>
      </c>
      <c r="C7" s="345">
        <f>Inputs!B23</f>
        <v>32.570487534561032</v>
      </c>
      <c r="D7" s="34" t="s">
        <v>135</v>
      </c>
    </row>
    <row r="8" spans="1:44" x14ac:dyDescent="0.35">
      <c r="B8" t="s">
        <v>136</v>
      </c>
      <c r="C8" s="271">
        <f>TIMS_Summary!C34/(C6*24)</f>
        <v>4.3225549768537049E-2</v>
      </c>
      <c r="D8" s="300"/>
    </row>
    <row r="9" spans="1:44" x14ac:dyDescent="0.35">
      <c r="B9" t="str">
        <f>Inputs!A20</f>
        <v>US 74 closure per vehicle per instance (hours)</v>
      </c>
      <c r="C9" s="38">
        <f>Inputs!B20-Inputs!B21</f>
        <v>3.2032904884326863</v>
      </c>
      <c r="D9" t="s">
        <v>138</v>
      </c>
    </row>
    <row r="10" spans="1:44" x14ac:dyDescent="0.35">
      <c r="B10" t="s">
        <v>139</v>
      </c>
      <c r="C10" s="272">
        <f>TrafficData!D3</f>
        <v>0.06</v>
      </c>
    </row>
    <row r="11" spans="1:44" x14ac:dyDescent="0.35">
      <c r="B11" s="30" t="s">
        <v>140</v>
      </c>
      <c r="C11" s="235">
        <f>Inputs!B31</f>
        <v>18.8</v>
      </c>
    </row>
    <row r="12" spans="1:44" x14ac:dyDescent="0.35">
      <c r="B12" s="30" t="str">
        <f>Inputs!A32</f>
        <v>Value of Time, (2021$), truck driver per hour</v>
      </c>
      <c r="C12" s="235">
        <f>Inputs!B32</f>
        <v>32.4</v>
      </c>
    </row>
    <row r="13" spans="1:44" x14ac:dyDescent="0.35">
      <c r="B13" s="30" t="str">
        <f>Inputs!A33</f>
        <v>Truck operating costs per hour (2021$)</v>
      </c>
      <c r="C13" s="235">
        <f>Inputs!B33</f>
        <v>49.140000000000008</v>
      </c>
    </row>
    <row r="14" spans="1:44" x14ac:dyDescent="0.35">
      <c r="B14" s="101" t="s">
        <v>141</v>
      </c>
      <c r="C14" s="26">
        <f>Inputs!B25</f>
        <v>1.67</v>
      </c>
      <c r="I14" s="9"/>
    </row>
    <row r="15" spans="1:44" ht="43.5" x14ac:dyDescent="0.35">
      <c r="B15" s="181" t="str">
        <f>Inputs!A30</f>
        <v>Vehicle Maintenance Cost per Mile (Gas, Maintenance, Tires, Depreciation) (2021$/Mile) -- Light Duty Vehicles</v>
      </c>
      <c r="C15" s="235">
        <f>Inputs!B30</f>
        <v>0.46</v>
      </c>
      <c r="H15" s="74"/>
      <c r="I15" s="42"/>
      <c r="J15" s="5"/>
    </row>
    <row r="16" spans="1:44" x14ac:dyDescent="0.35">
      <c r="B16" s="34"/>
      <c r="D16" s="70"/>
      <c r="H16" s="68"/>
      <c r="I16" s="68"/>
      <c r="J16" s="68"/>
      <c r="K16" s="68"/>
      <c r="L16" s="68"/>
      <c r="AQ16" s="7"/>
      <c r="AR16" s="7"/>
    </row>
    <row r="17" spans="1:13" x14ac:dyDescent="0.35">
      <c r="E17" s="9"/>
      <c r="F17" s="411" t="s">
        <v>142</v>
      </c>
      <c r="G17" s="411"/>
      <c r="H17" s="411"/>
      <c r="I17" s="412" t="s">
        <v>143</v>
      </c>
      <c r="J17" s="412"/>
      <c r="K17" s="413"/>
      <c r="L17" s="50"/>
    </row>
    <row r="18" spans="1:13" s="34" customFormat="1" ht="58" x14ac:dyDescent="0.35">
      <c r="A18" s="29" t="s">
        <v>144</v>
      </c>
      <c r="B18" s="53" t="s">
        <v>145</v>
      </c>
      <c r="C18" s="53" t="s">
        <v>146</v>
      </c>
      <c r="D18" s="53" t="s">
        <v>147</v>
      </c>
      <c r="E18" s="53" t="s">
        <v>148</v>
      </c>
      <c r="F18" s="54" t="s">
        <v>149</v>
      </c>
      <c r="G18" s="134" t="s">
        <v>150</v>
      </c>
      <c r="H18" s="134" t="s">
        <v>151</v>
      </c>
      <c r="I18" s="53" t="s">
        <v>152</v>
      </c>
      <c r="J18" s="53" t="s">
        <v>153</v>
      </c>
      <c r="K18" s="298" t="s">
        <v>154</v>
      </c>
      <c r="L18" s="53" t="s">
        <v>155</v>
      </c>
      <c r="M18" s="223"/>
    </row>
    <row r="19" spans="1:13" ht="14.65" customHeight="1" x14ac:dyDescent="0.35">
      <c r="A19" s="9">
        <f>IF((B19&gt;(Inputs!$B$7+Inputs!$B$8)),0,IF((B19&lt;Inputs!$B$7),0,((B19-Inputs!$B$7))))</f>
        <v>1</v>
      </c>
      <c r="B19" s="50">
        <f>Inputs!B11</f>
        <v>2028</v>
      </c>
      <c r="C19" s="97">
        <f>_xlfn.XLOOKUP('DMS Delay Avoidance'!B19,TrafficData!$J$8:$J$48,TrafficData!$K$8:$K$48,)*$C$6</f>
        <v>1752333.7702269887</v>
      </c>
      <c r="D19" s="97">
        <f>C19*$C$8</f>
        <v>75745.590596034861</v>
      </c>
      <c r="E19" s="97">
        <f>SUM(D19*$C$9)</f>
        <v>242635.1298969948</v>
      </c>
      <c r="F19" s="109">
        <f t="shared" ref="F19:F38" si="0">(1-$C$10)*E19*$C$14</f>
        <v>380888.6269123024</v>
      </c>
      <c r="G19" s="72">
        <f t="shared" ref="G19:G38" si="1">F19*$C$11</f>
        <v>7160706.1859512851</v>
      </c>
      <c r="H19" s="72">
        <f t="shared" ref="H19:H38" si="2">ROUND($G19/((1+C$3)^($B19-$C$4)),0)</f>
        <v>4459328</v>
      </c>
      <c r="I19" s="109">
        <f t="shared" ref="I19:I38" si="3">SUM(E19*$C$10)</f>
        <v>14558.107793819687</v>
      </c>
      <c r="J19" s="72">
        <f t="shared" ref="J19:J38" si="4">I19*($C$12+$C$13)</f>
        <v>1187068.1095080574</v>
      </c>
      <c r="K19" s="299">
        <f t="shared" ref="K19:K38" si="5">ROUND($J19/((1+C$3)^($B19-$C$4)),0)</f>
        <v>739246</v>
      </c>
      <c r="L19" s="111">
        <f t="shared" ref="L19:L38" si="6">SUM(K19,H19)</f>
        <v>5198574</v>
      </c>
    </row>
    <row r="20" spans="1:13" ht="14.65" customHeight="1" x14ac:dyDescent="0.35">
      <c r="A20" s="9">
        <f>IF((B20&gt;(Inputs!$B$7+Inputs!$B$8)),0,IF((B20&lt;Inputs!$B$7),0,((B20-Inputs!$B$7))))</f>
        <v>2</v>
      </c>
      <c r="B20" s="50">
        <f>B19+1</f>
        <v>2029</v>
      </c>
      <c r="C20" s="97">
        <f>_xlfn.XLOOKUP('DMS Delay Avoidance'!B20,TrafficData!$J$8:$J$48,TrafficData!$K$8:$K$48,)*$C$6</f>
        <v>1787380.4456315285</v>
      </c>
      <c r="D20" s="97">
        <f t="shared" ref="D20:D38" si="7">C20*$C$8</f>
        <v>77260.502407955559</v>
      </c>
      <c r="E20" s="97">
        <f t="shared" ref="E20:E38" si="8">SUM(D20*$C$9)</f>
        <v>247487.8324949347</v>
      </c>
      <c r="F20" s="109">
        <f t="shared" si="0"/>
        <v>388506.39945054846</v>
      </c>
      <c r="G20" s="72">
        <f t="shared" si="1"/>
        <v>7303920.3096703114</v>
      </c>
      <c r="H20" s="72">
        <f t="shared" si="2"/>
        <v>4250948</v>
      </c>
      <c r="I20" s="109">
        <f t="shared" si="3"/>
        <v>14849.269949696081</v>
      </c>
      <c r="J20" s="72">
        <f t="shared" si="4"/>
        <v>1210809.4716982185</v>
      </c>
      <c r="K20" s="299">
        <f t="shared" si="5"/>
        <v>704702</v>
      </c>
      <c r="L20" s="111">
        <f t="shared" si="6"/>
        <v>4955650</v>
      </c>
    </row>
    <row r="21" spans="1:13" x14ac:dyDescent="0.35">
      <c r="A21" s="9">
        <f>IF((B21&gt;(Inputs!$B$7+Inputs!$B$8)),0,IF((B21&lt;Inputs!$B$7),0,((B21-Inputs!$B$7))))</f>
        <v>3</v>
      </c>
      <c r="B21" s="50">
        <f t="shared" ref="B21:B38" si="9">B20+1</f>
        <v>2030</v>
      </c>
      <c r="C21" s="97">
        <f>_xlfn.XLOOKUP('DMS Delay Avoidance'!B21,TrafficData!$J$8:$J$48,TrafficData!$K$8:$K$48,)*$C$6</f>
        <v>1823128.0545441592</v>
      </c>
      <c r="D21" s="97">
        <f t="shared" si="7"/>
        <v>78805.712456114677</v>
      </c>
      <c r="E21" s="97">
        <f t="shared" si="8"/>
        <v>252437.58914483342</v>
      </c>
      <c r="F21" s="109">
        <f>(1-$C$10)*E21*$C$14</f>
        <v>396276.52743955946</v>
      </c>
      <c r="G21" s="72">
        <f>F21*$C$11</f>
        <v>7449998.7158637177</v>
      </c>
      <c r="H21" s="72">
        <f t="shared" si="2"/>
        <v>4052306</v>
      </c>
      <c r="I21" s="109">
        <f t="shared" si="3"/>
        <v>15146.255348690005</v>
      </c>
      <c r="J21" s="72">
        <f t="shared" si="4"/>
        <v>1235025.6611321832</v>
      </c>
      <c r="K21" s="299">
        <f t="shared" si="5"/>
        <v>671772</v>
      </c>
      <c r="L21" s="111">
        <f t="shared" si="6"/>
        <v>4724078</v>
      </c>
    </row>
    <row r="22" spans="1:13" x14ac:dyDescent="0.35">
      <c r="A22" s="9">
        <f>IF((B22&gt;(Inputs!$B$7+Inputs!$B$8)),0,IF((B22&lt;Inputs!$B$7),0,((B22-Inputs!$B$7))))</f>
        <v>4</v>
      </c>
      <c r="B22" s="50">
        <f t="shared" si="9"/>
        <v>2031</v>
      </c>
      <c r="C22" s="97">
        <f>_xlfn.XLOOKUP('DMS Delay Avoidance'!B22,TrafficData!$J$8:$J$48,TrafficData!$K$8:$K$48,)*$C$6</f>
        <v>1859590.6156350421</v>
      </c>
      <c r="D22" s="97">
        <f t="shared" si="7"/>
        <v>80381.826705236963</v>
      </c>
      <c r="E22" s="97">
        <f t="shared" si="8"/>
        <v>257486.34092773005</v>
      </c>
      <c r="F22" s="109">
        <f t="shared" si="0"/>
        <v>404202.05798835057</v>
      </c>
      <c r="G22" s="72">
        <f t="shared" si="1"/>
        <v>7598998.6901809908</v>
      </c>
      <c r="H22" s="72">
        <f t="shared" si="2"/>
        <v>3862946</v>
      </c>
      <c r="I22" s="109">
        <f t="shared" si="3"/>
        <v>15449.180455663802</v>
      </c>
      <c r="J22" s="72">
        <f t="shared" si="4"/>
        <v>1259726.1743548266</v>
      </c>
      <c r="K22" s="299">
        <f t="shared" si="5"/>
        <v>640381</v>
      </c>
      <c r="L22" s="111">
        <f t="shared" si="6"/>
        <v>4503327</v>
      </c>
    </row>
    <row r="23" spans="1:13" x14ac:dyDescent="0.35">
      <c r="A23" s="9">
        <f>IF((B23&gt;(Inputs!$B$7+Inputs!$B$8)),0,IF((B23&lt;Inputs!$B$7),0,((B23-Inputs!$B$7))))</f>
        <v>5</v>
      </c>
      <c r="B23" s="50">
        <f t="shared" si="9"/>
        <v>2032</v>
      </c>
      <c r="C23" s="97">
        <f>_xlfn.XLOOKUP('DMS Delay Avoidance'!B23,TrafficData!$J$8:$J$48,TrafficData!$K$8:$K$48,)*$C$6</f>
        <v>1896782.4279477429</v>
      </c>
      <c r="D23" s="97">
        <f t="shared" si="7"/>
        <v>81989.463239341698</v>
      </c>
      <c r="E23" s="97">
        <f t="shared" si="8"/>
        <v>262636.06774628465</v>
      </c>
      <c r="F23" s="109">
        <f t="shared" si="0"/>
        <v>412286.09914811765</v>
      </c>
      <c r="G23" s="72">
        <f t="shared" si="1"/>
        <v>7750978.6639846116</v>
      </c>
      <c r="H23" s="72">
        <f t="shared" si="2"/>
        <v>3682434</v>
      </c>
      <c r="I23" s="109">
        <f t="shared" si="3"/>
        <v>15758.164064777078</v>
      </c>
      <c r="J23" s="72">
        <f>I23*($C$12+$C$13)</f>
        <v>1284920.697841923</v>
      </c>
      <c r="K23" s="299">
        <f t="shared" si="5"/>
        <v>610457</v>
      </c>
      <c r="L23" s="111">
        <f t="shared" si="6"/>
        <v>4292891</v>
      </c>
    </row>
    <row r="24" spans="1:13" x14ac:dyDescent="0.35">
      <c r="A24" s="9">
        <f>IF((B24&gt;(Inputs!$B$7+Inputs!$B$8)),0,IF((B24&lt;Inputs!$B$7),0,((B24-Inputs!$B$7))))</f>
        <v>6</v>
      </c>
      <c r="B24" s="50">
        <f t="shared" si="9"/>
        <v>2033</v>
      </c>
      <c r="C24" s="97">
        <f>_xlfn.XLOOKUP('DMS Delay Avoidance'!B24,TrafficData!$J$8:$J$48,TrafficData!$K$8:$K$48,)*$C$6</f>
        <v>1934718.076506698</v>
      </c>
      <c r="D24" s="97">
        <f t="shared" si="7"/>
        <v>83629.252504128541</v>
      </c>
      <c r="E24" s="97">
        <f t="shared" si="8"/>
        <v>267888.78910121036</v>
      </c>
      <c r="F24" s="109">
        <f t="shared" si="0"/>
        <v>420531.82113107998</v>
      </c>
      <c r="G24" s="72">
        <f t="shared" si="1"/>
        <v>7905998.2372643035</v>
      </c>
      <c r="H24" s="72">
        <f t="shared" si="2"/>
        <v>3510358</v>
      </c>
      <c r="I24" s="109">
        <f t="shared" si="3"/>
        <v>16073.327346072621</v>
      </c>
      <c r="J24" s="72">
        <f t="shared" si="4"/>
        <v>1310619.1117987616</v>
      </c>
      <c r="K24" s="299">
        <f t="shared" si="5"/>
        <v>581931</v>
      </c>
      <c r="L24" s="111">
        <f t="shared" si="6"/>
        <v>4092289</v>
      </c>
    </row>
    <row r="25" spans="1:13" x14ac:dyDescent="0.35">
      <c r="A25" s="9">
        <f>IF((B25&gt;(Inputs!$B$7+Inputs!$B$8)),0,IF((B25&lt;Inputs!$B$7),0,((B25-Inputs!$B$7))))</f>
        <v>7</v>
      </c>
      <c r="B25" s="50">
        <f t="shared" si="9"/>
        <v>2034</v>
      </c>
      <c r="C25" s="97">
        <f>_xlfn.XLOOKUP('DMS Delay Avoidance'!B25,TrafficData!$J$8:$J$48,TrafficData!$K$8:$K$48,)*$C$6</f>
        <v>1973412.438036832</v>
      </c>
      <c r="D25" s="97">
        <f t="shared" si="7"/>
        <v>85301.837554211117</v>
      </c>
      <c r="E25" s="97">
        <f t="shared" si="8"/>
        <v>273246.56488323456</v>
      </c>
      <c r="F25" s="109">
        <f t="shared" si="0"/>
        <v>428942.45755370159</v>
      </c>
      <c r="G25" s="72">
        <f t="shared" si="1"/>
        <v>8064118.2020095903</v>
      </c>
      <c r="H25" s="72">
        <f t="shared" si="2"/>
        <v>3346322</v>
      </c>
      <c r="I25" s="109">
        <f t="shared" si="3"/>
        <v>16394.793892994072</v>
      </c>
      <c r="J25" s="72">
        <f t="shared" si="4"/>
        <v>1336831.4940347367</v>
      </c>
      <c r="K25" s="299">
        <f t="shared" si="5"/>
        <v>554738</v>
      </c>
      <c r="L25" s="111">
        <f t="shared" si="6"/>
        <v>3901060</v>
      </c>
    </row>
    <row r="26" spans="1:13" x14ac:dyDescent="0.35">
      <c r="A26" s="9">
        <f>IF((B26&gt;(Inputs!$B$7+Inputs!$B$8)),0,IF((B26&lt;Inputs!$B$7),0,((B26-Inputs!$B$7))))</f>
        <v>8</v>
      </c>
      <c r="B26" s="50">
        <f t="shared" si="9"/>
        <v>2035</v>
      </c>
      <c r="C26" s="97">
        <f>_xlfn.XLOOKUP('DMS Delay Avoidance'!B26,TrafficData!$J$8:$J$48,TrafficData!$K$8:$K$48,)*$C$6</f>
        <v>2012880.6867975686</v>
      </c>
      <c r="D26" s="97">
        <f t="shared" si="7"/>
        <v>87007.874305295336</v>
      </c>
      <c r="E26" s="97">
        <f t="shared" si="8"/>
        <v>278711.49618089927</v>
      </c>
      <c r="F26" s="109">
        <f t="shared" si="0"/>
        <v>437521.30670477566</v>
      </c>
      <c r="G26" s="72">
        <f t="shared" si="1"/>
        <v>8225400.5660497826</v>
      </c>
      <c r="H26" s="72">
        <f t="shared" si="2"/>
        <v>3189952</v>
      </c>
      <c r="I26" s="109">
        <f t="shared" si="3"/>
        <v>16722.689770853955</v>
      </c>
      <c r="J26" s="72">
        <f t="shared" si="4"/>
        <v>1363568.1239154316</v>
      </c>
      <c r="K26" s="299">
        <f t="shared" si="5"/>
        <v>528815</v>
      </c>
      <c r="L26" s="111">
        <f t="shared" si="6"/>
        <v>3718767</v>
      </c>
    </row>
    <row r="27" spans="1:13" x14ac:dyDescent="0.35">
      <c r="A27" s="9">
        <f>IF((B27&gt;(Inputs!$B$7+Inputs!$B$8)),0,IF((B27&lt;Inputs!$B$7),0,((B27-Inputs!$B$7))))</f>
        <v>9</v>
      </c>
      <c r="B27" s="50">
        <f t="shared" si="9"/>
        <v>2036</v>
      </c>
      <c r="C27" s="97">
        <f>_xlfn.XLOOKUP('DMS Delay Avoidance'!B27,TrafficData!$J$8:$J$48,TrafficData!$K$8:$K$48,)*$C$6</f>
        <v>2053138.3005335201</v>
      </c>
      <c r="D27" s="97">
        <f t="shared" si="7"/>
        <v>88748.031791401241</v>
      </c>
      <c r="E27" s="97">
        <f t="shared" si="8"/>
        <v>284285.72610451723</v>
      </c>
      <c r="F27" s="109">
        <f t="shared" si="0"/>
        <v>446271.73283887107</v>
      </c>
      <c r="G27" s="72">
        <f t="shared" si="1"/>
        <v>8389908.5773707759</v>
      </c>
      <c r="H27" s="72">
        <f t="shared" si="2"/>
        <v>3040889</v>
      </c>
      <c r="I27" s="109">
        <f t="shared" si="3"/>
        <v>17057.143566271032</v>
      </c>
      <c r="J27" s="72">
        <f t="shared" si="4"/>
        <v>1390839.4863937399</v>
      </c>
      <c r="K27" s="299">
        <f t="shared" si="5"/>
        <v>504104</v>
      </c>
      <c r="L27" s="111">
        <f t="shared" si="6"/>
        <v>3544993</v>
      </c>
    </row>
    <row r="28" spans="1:13" x14ac:dyDescent="0.35">
      <c r="A28" s="9">
        <f>IF((B28&gt;(Inputs!$B$7+Inputs!$B$8)),0,IF((B28&lt;Inputs!$B$7),0,((B28-Inputs!$B$7))))</f>
        <v>10</v>
      </c>
      <c r="B28" s="50">
        <f t="shared" si="9"/>
        <v>2037</v>
      </c>
      <c r="C28" s="97">
        <f>_xlfn.XLOOKUP('DMS Delay Avoidance'!B28,TrafficData!$J$8:$J$48,TrafficData!$K$8:$K$48,)*$C$6</f>
        <v>2094201.0665441905</v>
      </c>
      <c r="D28" s="97">
        <f t="shared" si="7"/>
        <v>90522.99242722927</v>
      </c>
      <c r="E28" s="97">
        <f t="shared" si="8"/>
        <v>289971.44062660763</v>
      </c>
      <c r="F28" s="109">
        <f t="shared" si="0"/>
        <v>455197.16749564861</v>
      </c>
      <c r="G28" s="72">
        <f t="shared" si="1"/>
        <v>8557706.7489181943</v>
      </c>
      <c r="H28" s="72">
        <f t="shared" si="2"/>
        <v>2898791</v>
      </c>
      <c r="I28" s="109">
        <f t="shared" si="3"/>
        <v>17398.286437596456</v>
      </c>
      <c r="J28" s="72">
        <f t="shared" si="4"/>
        <v>1418656.2761216152</v>
      </c>
      <c r="K28" s="299">
        <f t="shared" si="5"/>
        <v>480548</v>
      </c>
      <c r="L28" s="111">
        <f t="shared" si="6"/>
        <v>3379339</v>
      </c>
    </row>
    <row r="29" spans="1:13" x14ac:dyDescent="0.35">
      <c r="A29" s="9">
        <f>IF((B29&gt;(Inputs!$B$7+Inputs!$B$8)),0,IF((B29&lt;Inputs!$B$7),0,((B29-Inputs!$B$7))))</f>
        <v>11</v>
      </c>
      <c r="B29" s="50">
        <f t="shared" si="9"/>
        <v>2038</v>
      </c>
      <c r="C29" s="97">
        <f>_xlfn.XLOOKUP('DMS Delay Avoidance'!B29,TrafficData!$J$8:$J$48,TrafficData!$K$8:$K$48,)*$C$6</f>
        <v>2136085.0878750742</v>
      </c>
      <c r="D29" s="97">
        <f t="shared" si="7"/>
        <v>92333.45227577386</v>
      </c>
      <c r="E29" s="97">
        <f t="shared" si="8"/>
        <v>295770.86943913979</v>
      </c>
      <c r="F29" s="109">
        <f t="shared" si="0"/>
        <v>464301.1108455616</v>
      </c>
      <c r="G29" s="72">
        <f t="shared" si="1"/>
        <v>8728860.8838965576</v>
      </c>
      <c r="H29" s="72">
        <f t="shared" si="2"/>
        <v>2763334</v>
      </c>
      <c r="I29" s="109">
        <f t="shared" si="3"/>
        <v>17746.252166348386</v>
      </c>
      <c r="J29" s="72">
        <f t="shared" si="4"/>
        <v>1447029.4016440476</v>
      </c>
      <c r="K29" s="299">
        <f t="shared" si="5"/>
        <v>458092</v>
      </c>
      <c r="L29" s="111">
        <f t="shared" si="6"/>
        <v>3221426</v>
      </c>
    </row>
    <row r="30" spans="1:13" x14ac:dyDescent="0.35">
      <c r="A30" s="9">
        <f>IF((B30&gt;(Inputs!$B$7+Inputs!$B$8)),0,IF((B30&lt;Inputs!$B$7),0,((B30-Inputs!$B$7))))</f>
        <v>12</v>
      </c>
      <c r="B30" s="50">
        <f t="shared" si="9"/>
        <v>2039</v>
      </c>
      <c r="C30" s="97">
        <f>_xlfn.XLOOKUP('DMS Delay Avoidance'!B30,TrafficData!$J$8:$J$48,TrafficData!$K$8:$K$48,)*$C$6</f>
        <v>2178806.7896325756</v>
      </c>
      <c r="D30" s="97">
        <f t="shared" si="7"/>
        <v>94180.121321289334</v>
      </c>
      <c r="E30" s="97">
        <f t="shared" si="8"/>
        <v>301686.28682792257</v>
      </c>
      <c r="F30" s="109">
        <f t="shared" si="0"/>
        <v>473587.1330624728</v>
      </c>
      <c r="G30" s="72">
        <f t="shared" si="1"/>
        <v>8903438.1015744898</v>
      </c>
      <c r="H30" s="72">
        <f t="shared" si="2"/>
        <v>2634206</v>
      </c>
      <c r="I30" s="109">
        <f t="shared" si="3"/>
        <v>18101.177209675352</v>
      </c>
      <c r="J30" s="72">
        <f t="shared" si="4"/>
        <v>1475969.9896769284</v>
      </c>
      <c r="K30" s="299">
        <f t="shared" si="5"/>
        <v>436686</v>
      </c>
      <c r="L30" s="111">
        <f t="shared" si="6"/>
        <v>3070892</v>
      </c>
    </row>
    <row r="31" spans="1:13" x14ac:dyDescent="0.35">
      <c r="A31" s="9">
        <f>IF((B31&gt;(Inputs!$B$7+Inputs!$B$8)),0,IF((B31&lt;Inputs!$B$7),0,((B31-Inputs!$B$7))))</f>
        <v>13</v>
      </c>
      <c r="B31" s="50">
        <f t="shared" si="9"/>
        <v>2040</v>
      </c>
      <c r="C31" s="97">
        <f>_xlfn.XLOOKUP('DMS Delay Avoidance'!B31,TrafficData!$J$8:$J$48,TrafficData!$K$8:$K$48,)*$C$6</f>
        <v>2222382.9254252273</v>
      </c>
      <c r="D31" s="97">
        <f t="shared" si="7"/>
        <v>96063.723747715121</v>
      </c>
      <c r="E31" s="97">
        <f t="shared" si="8"/>
        <v>307720.012564481</v>
      </c>
      <c r="F31" s="109">
        <f t="shared" si="0"/>
        <v>483058.87572372227</v>
      </c>
      <c r="G31" s="72">
        <f t="shared" si="1"/>
        <v>9081506.8636059798</v>
      </c>
      <c r="H31" s="72">
        <f t="shared" si="2"/>
        <v>2511112</v>
      </c>
      <c r="I31" s="109">
        <f t="shared" si="3"/>
        <v>18463.200753868859</v>
      </c>
      <c r="J31" s="72">
        <f t="shared" si="4"/>
        <v>1505489.3894704669</v>
      </c>
      <c r="K31" s="299">
        <f t="shared" si="5"/>
        <v>416280</v>
      </c>
      <c r="L31" s="111">
        <f t="shared" si="6"/>
        <v>2927392</v>
      </c>
    </row>
    <row r="32" spans="1:13" x14ac:dyDescent="0.35">
      <c r="A32" s="9">
        <f>IF((B32&gt;(Inputs!$B$7+Inputs!$B$8)),0,IF((B32&lt;Inputs!$B$7),0,((B32-Inputs!$B$7))))</f>
        <v>14</v>
      </c>
      <c r="B32" s="50">
        <f t="shared" si="9"/>
        <v>2041</v>
      </c>
      <c r="C32" s="97">
        <f>_xlfn.XLOOKUP('DMS Delay Avoidance'!B32,TrafficData!$J$8:$J$48,TrafficData!$K$8:$K$48,)*$C$6</f>
        <v>2266830.583933732</v>
      </c>
      <c r="D32" s="97">
        <f t="shared" si="7"/>
        <v>97984.998222669426</v>
      </c>
      <c r="E32" s="97">
        <f t="shared" si="8"/>
        <v>313874.41281577066</v>
      </c>
      <c r="F32" s="109">
        <f t="shared" si="0"/>
        <v>492720.05323819676</v>
      </c>
      <c r="G32" s="72">
        <f t="shared" si="1"/>
        <v>9263137.0008780994</v>
      </c>
      <c r="H32" s="72">
        <f t="shared" si="2"/>
        <v>2393771</v>
      </c>
      <c r="I32" s="109">
        <f t="shared" si="3"/>
        <v>18832.46476894624</v>
      </c>
      <c r="J32" s="72">
        <f t="shared" si="4"/>
        <v>1535599.1772598766</v>
      </c>
      <c r="K32" s="299">
        <f t="shared" si="5"/>
        <v>396828</v>
      </c>
      <c r="L32" s="111">
        <f t="shared" si="6"/>
        <v>2790599</v>
      </c>
    </row>
    <row r="33" spans="1:12" x14ac:dyDescent="0.35">
      <c r="A33" s="9">
        <f>IF((B33&gt;(Inputs!$B$7+Inputs!$B$8)),0,IF((B33&lt;Inputs!$B$7),0,((B33-Inputs!$B$7))))</f>
        <v>15</v>
      </c>
      <c r="B33" s="50">
        <f t="shared" si="9"/>
        <v>2042</v>
      </c>
      <c r="C33" s="97">
        <f>_xlfn.XLOOKUP('DMS Delay Avoidance'!B33,TrafficData!$J$8:$J$48,TrafficData!$K$8:$K$48,)*$C$6</f>
        <v>2312167.1956124068</v>
      </c>
      <c r="D33" s="97">
        <f t="shared" si="7"/>
        <v>99944.698187122834</v>
      </c>
      <c r="E33" s="97">
        <f t="shared" si="8"/>
        <v>320151.90107208613</v>
      </c>
      <c r="F33" s="109">
        <f t="shared" si="0"/>
        <v>502574.45430296077</v>
      </c>
      <c r="G33" s="72">
        <f t="shared" si="1"/>
        <v>9448399.7408956625</v>
      </c>
      <c r="H33" s="72">
        <f t="shared" si="2"/>
        <v>2281912</v>
      </c>
      <c r="I33" s="109">
        <f t="shared" si="3"/>
        <v>19209.114064325167</v>
      </c>
      <c r="J33" s="72">
        <f t="shared" si="4"/>
        <v>1566311.1608050743</v>
      </c>
      <c r="K33" s="299">
        <f t="shared" si="5"/>
        <v>378285</v>
      </c>
      <c r="L33" s="111">
        <f t="shared" si="6"/>
        <v>2660197</v>
      </c>
    </row>
    <row r="34" spans="1:12" x14ac:dyDescent="0.35">
      <c r="A34" s="9">
        <f>IF((B34&gt;(Inputs!$B$7+Inputs!$B$8)),0,IF((B34&lt;Inputs!$B$7),0,((B34-Inputs!$B$7))))</f>
        <v>16</v>
      </c>
      <c r="B34" s="50">
        <f t="shared" si="9"/>
        <v>2043</v>
      </c>
      <c r="C34" s="97">
        <f>_xlfn.XLOOKUP('DMS Delay Avoidance'!B34,TrafficData!$J$8:$J$48,TrafficData!$K$8:$K$48,)*$C$6</f>
        <v>2358410.5395246549</v>
      </c>
      <c r="D34" s="97">
        <f t="shared" si="7"/>
        <v>101943.59215086528</v>
      </c>
      <c r="E34" s="97">
        <f t="shared" si="8"/>
        <v>326554.93909352779</v>
      </c>
      <c r="F34" s="109">
        <f t="shared" si="0"/>
        <v>512625.94338901987</v>
      </c>
      <c r="G34" s="72">
        <f t="shared" si="1"/>
        <v>9637367.7357135732</v>
      </c>
      <c r="H34" s="72">
        <f t="shared" si="2"/>
        <v>2175281</v>
      </c>
      <c r="I34" s="109">
        <f t="shared" si="3"/>
        <v>19593.296345611667</v>
      </c>
      <c r="J34" s="72">
        <f t="shared" si="4"/>
        <v>1597637.3840211753</v>
      </c>
      <c r="K34" s="299">
        <f t="shared" si="5"/>
        <v>360608</v>
      </c>
      <c r="L34" s="111">
        <f t="shared" si="6"/>
        <v>2535889</v>
      </c>
    </row>
    <row r="35" spans="1:12" x14ac:dyDescent="0.35">
      <c r="A35" s="9">
        <f>IF((B35&gt;(Inputs!$B$7+Inputs!$B$8)),0,IF((B35&lt;Inputs!$B$7),0,((B35-Inputs!$B$7))))</f>
        <v>17</v>
      </c>
      <c r="B35" s="50">
        <f t="shared" si="9"/>
        <v>2044</v>
      </c>
      <c r="C35" s="97">
        <f>_xlfn.XLOOKUP('DMS Delay Avoidance'!B35,TrafficData!$J$8:$J$48,TrafficData!$K$8:$K$48,)*$C$6</f>
        <v>2405578.7503151484</v>
      </c>
      <c r="D35" s="97">
        <f t="shared" si="7"/>
        <v>103982.4639938826</v>
      </c>
      <c r="E35" s="97">
        <f t="shared" si="8"/>
        <v>333086.03787539841</v>
      </c>
      <c r="F35" s="109">
        <f t="shared" si="0"/>
        <v>522878.46225680038</v>
      </c>
      <c r="G35" s="72">
        <f t="shared" si="1"/>
        <v>9830115.0904278476</v>
      </c>
      <c r="H35" s="72">
        <f t="shared" si="2"/>
        <v>2073632</v>
      </c>
      <c r="I35" s="109">
        <f t="shared" si="3"/>
        <v>19985.162272523903</v>
      </c>
      <c r="J35" s="72">
        <f t="shared" si="4"/>
        <v>1629590.1317015991</v>
      </c>
      <c r="K35" s="299">
        <f t="shared" si="5"/>
        <v>343757</v>
      </c>
      <c r="L35" s="111">
        <f t="shared" si="6"/>
        <v>2417389</v>
      </c>
    </row>
    <row r="36" spans="1:12" x14ac:dyDescent="0.35">
      <c r="A36" s="9">
        <f>IF((B36&gt;(Inputs!$B$7+Inputs!$B$8)),0,IF((B36&lt;Inputs!$B$7),0,((B36-Inputs!$B$7))))</f>
        <v>18</v>
      </c>
      <c r="B36" s="50">
        <f t="shared" si="9"/>
        <v>2045</v>
      </c>
      <c r="C36" s="97">
        <f>_xlfn.XLOOKUP('DMS Delay Avoidance'!B36,TrafficData!$J$8:$J$48,TrafficData!$K$8:$K$48,)*$C$6</f>
        <v>2453690.3253214513</v>
      </c>
      <c r="D36" s="97">
        <f t="shared" si="7"/>
        <v>106062.11327376026</v>
      </c>
      <c r="E36" s="97">
        <f t="shared" si="8"/>
        <v>339747.75863290642</v>
      </c>
      <c r="F36" s="109">
        <f t="shared" si="0"/>
        <v>533336.03150193638</v>
      </c>
      <c r="G36" s="72">
        <f t="shared" si="1"/>
        <v>10026717.392236404</v>
      </c>
      <c r="H36" s="72">
        <f t="shared" si="2"/>
        <v>1976733</v>
      </c>
      <c r="I36" s="109">
        <f t="shared" si="3"/>
        <v>20384.865517974384</v>
      </c>
      <c r="J36" s="72">
        <f t="shared" si="4"/>
        <v>1662181.9343356313</v>
      </c>
      <c r="K36" s="299">
        <f t="shared" si="5"/>
        <v>327694</v>
      </c>
      <c r="L36" s="111">
        <f t="shared" si="6"/>
        <v>2304427</v>
      </c>
    </row>
    <row r="37" spans="1:12" x14ac:dyDescent="0.35">
      <c r="A37" s="9">
        <f>IF((B37&gt;(Inputs!$B$7+Inputs!$B$8)),0,IF((B37&lt;Inputs!$B$7),0,((B37-Inputs!$B$7))))</f>
        <v>19</v>
      </c>
      <c r="B37" s="50">
        <f t="shared" si="9"/>
        <v>2046</v>
      </c>
      <c r="C37" s="97">
        <f>_xlfn.XLOOKUP('DMS Delay Avoidance'!B37,TrafficData!$J$8:$J$48,TrafficData!$K$8:$K$48,)*$C$6</f>
        <v>2502764.1318278802</v>
      </c>
      <c r="D37" s="97">
        <f t="shared" si="7"/>
        <v>108183.35553923545</v>
      </c>
      <c r="E37" s="97">
        <f t="shared" si="8"/>
        <v>346542.71380556445</v>
      </c>
      <c r="F37" s="109">
        <f t="shared" si="0"/>
        <v>544002.75213197502</v>
      </c>
      <c r="G37" s="72">
        <f t="shared" si="1"/>
        <v>10227251.740081131</v>
      </c>
      <c r="H37" s="72">
        <f t="shared" si="2"/>
        <v>1884363</v>
      </c>
      <c r="I37" s="109">
        <f t="shared" si="3"/>
        <v>20792.562828333866</v>
      </c>
      <c r="J37" s="72">
        <f t="shared" si="4"/>
        <v>1695425.5730223437</v>
      </c>
      <c r="K37" s="299">
        <f t="shared" si="5"/>
        <v>312381</v>
      </c>
      <c r="L37" s="111">
        <f t="shared" si="6"/>
        <v>2196744</v>
      </c>
    </row>
    <row r="38" spans="1:12" x14ac:dyDescent="0.35">
      <c r="A38" s="9">
        <f>IF((B38&gt;(Inputs!$B$7+Inputs!$B$8)),0,IF((B38&lt;Inputs!$B$7),0,((B38-Inputs!$B$7))))</f>
        <v>20</v>
      </c>
      <c r="B38" s="50">
        <f t="shared" si="9"/>
        <v>2047</v>
      </c>
      <c r="C38" s="97">
        <f>_xlfn.XLOOKUP('DMS Delay Avoidance'!B38,TrafficData!$J$8:$J$48,TrafficData!$K$8:$K$48,)*$C$6</f>
        <v>2552819.4144644379</v>
      </c>
      <c r="D38" s="97">
        <f t="shared" si="7"/>
        <v>110347.02265002017</v>
      </c>
      <c r="E38" s="97">
        <f t="shared" si="8"/>
        <v>353473.5680816758</v>
      </c>
      <c r="F38" s="109">
        <f t="shared" si="0"/>
        <v>554882.80717461463</v>
      </c>
      <c r="G38" s="72">
        <f t="shared" si="1"/>
        <v>10431796.774882756</v>
      </c>
      <c r="H38" s="72">
        <f t="shared" si="2"/>
        <v>1796308</v>
      </c>
      <c r="I38" s="109">
        <f t="shared" si="3"/>
        <v>21208.414084900545</v>
      </c>
      <c r="J38" s="72">
        <f t="shared" si="4"/>
        <v>1729334.0844827907</v>
      </c>
      <c r="K38" s="299">
        <f t="shared" si="5"/>
        <v>297784</v>
      </c>
      <c r="L38" s="111">
        <f t="shared" si="6"/>
        <v>2094092</v>
      </c>
    </row>
    <row r="39" spans="1:12" x14ac:dyDescent="0.35">
      <c r="F39" s="32"/>
      <c r="G39" s="32"/>
      <c r="I39" s="32"/>
      <c r="J39" s="32"/>
      <c r="L39" s="341"/>
    </row>
    <row r="40" spans="1:12" x14ac:dyDescent="0.35">
      <c r="E40" s="32"/>
      <c r="F40" s="32"/>
      <c r="G40" s="48"/>
      <c r="H40" s="48">
        <f>SUM(H19:H38)</f>
        <v>58784926</v>
      </c>
      <c r="I40" s="32"/>
      <c r="J40" s="48"/>
      <c r="K40" s="48">
        <f>SUM(K19:K38)</f>
        <v>9745089</v>
      </c>
      <c r="L40" s="48">
        <f>SUM(L19:L38)</f>
        <v>68530015</v>
      </c>
    </row>
  </sheetData>
  <sheetProtection algorithmName="SHA-512" hashValue="AB44ZgsTppgxuEaz+lnnpXOe5+6eYop+X81rhAc8yhvYOlbTFah+aCFr+JfiylEOlQY55hDHl35oHDMYBFdEpw==" saltValue="pQfPD/lnvvaeIT7Uy2I64w==" spinCount="100000" sheet="1" objects="1" scenarios="1"/>
  <mergeCells count="2">
    <mergeCell ref="F17:H17"/>
    <mergeCell ref="I17:K17"/>
  </mergeCells>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ACEED-1142-451C-8BC0-6EA7F4C6F22E}">
  <dimension ref="A1:AF38"/>
  <sheetViews>
    <sheetView topLeftCell="A7" workbookViewId="0">
      <selection activeCell="E12" sqref="E12"/>
    </sheetView>
  </sheetViews>
  <sheetFormatPr defaultRowHeight="14.5" x14ac:dyDescent="0.35"/>
  <cols>
    <col min="1" max="1" width="37.54296875" style="9" customWidth="1"/>
    <col min="2" max="2" width="10.26953125" customWidth="1"/>
    <col min="3" max="3" width="14" customWidth="1"/>
    <col min="4" max="4" width="13.26953125" customWidth="1"/>
    <col min="5" max="5" width="14.54296875" customWidth="1"/>
    <col min="6" max="6" width="11.26953125" customWidth="1"/>
    <col min="7" max="7" width="12.54296875" customWidth="1"/>
    <col min="8" max="8" width="15" customWidth="1"/>
    <col min="9" max="9" width="17.26953125" customWidth="1"/>
    <col min="10" max="10" width="18.26953125" customWidth="1"/>
    <col min="11" max="11" width="14.54296875" customWidth="1"/>
    <col min="12" max="12" width="15.7265625" customWidth="1"/>
    <col min="13" max="13" width="18" customWidth="1"/>
    <col min="14" max="14" width="17.26953125" customWidth="1"/>
    <col min="15" max="15" width="18.26953125" customWidth="1"/>
    <col min="16" max="16" width="14.54296875" customWidth="1"/>
    <col min="17" max="17" width="15.7265625" customWidth="1"/>
    <col min="18" max="18" width="18" customWidth="1"/>
    <col min="19" max="19" width="17.26953125" customWidth="1"/>
    <col min="20" max="20" width="18.26953125" customWidth="1"/>
    <col min="21" max="21" width="14.54296875" customWidth="1"/>
    <col min="22" max="22" width="15.7265625" customWidth="1"/>
    <col min="23" max="23" width="18" customWidth="1"/>
    <col min="24" max="24" width="17.26953125" customWidth="1"/>
    <col min="25" max="25" width="18.26953125" customWidth="1"/>
    <col min="26" max="26" width="14.54296875" customWidth="1"/>
    <col min="27" max="27" width="15.7265625" customWidth="1"/>
    <col min="28" max="28" width="18" customWidth="1"/>
    <col min="29" max="29" width="17.26953125" customWidth="1"/>
    <col min="30" max="30" width="18.26953125" customWidth="1"/>
    <col min="31" max="31" width="14.54296875" customWidth="1"/>
    <col min="32" max="32" width="15.7265625" customWidth="1"/>
    <col min="33" max="33" width="18" customWidth="1"/>
    <col min="34" max="34" width="17.26953125" customWidth="1"/>
    <col min="35" max="35" width="18.26953125" customWidth="1"/>
    <col min="36" max="36" width="14.54296875" customWidth="1"/>
    <col min="37" max="37" width="15.7265625" customWidth="1"/>
    <col min="38" max="38" width="18" customWidth="1"/>
    <col min="39" max="39" width="17.26953125" customWidth="1"/>
    <col min="40" max="40" width="18.26953125" customWidth="1"/>
    <col min="41" max="41" width="14.54296875" customWidth="1"/>
    <col min="42" max="42" width="15.7265625" customWidth="1"/>
    <col min="43" max="43" width="18" customWidth="1"/>
    <col min="44" max="44" width="17.26953125" customWidth="1"/>
    <col min="45" max="45" width="18.26953125" customWidth="1"/>
    <col min="46" max="46" width="14.54296875" customWidth="1"/>
    <col min="47" max="47" width="15.7265625" customWidth="1"/>
    <col min="48" max="48" width="18" customWidth="1"/>
    <col min="49" max="49" width="17.26953125" customWidth="1"/>
    <col min="50" max="50" width="18.26953125" customWidth="1"/>
    <col min="51" max="51" width="14.54296875" customWidth="1"/>
    <col min="52" max="52" width="15.7265625" customWidth="1"/>
  </cols>
  <sheetData>
    <row r="1" spans="1:32" x14ac:dyDescent="0.35">
      <c r="A1" s="5" t="s">
        <v>123</v>
      </c>
    </row>
    <row r="2" spans="1:32" x14ac:dyDescent="0.35">
      <c r="A2" t="s">
        <v>341</v>
      </c>
    </row>
    <row r="4" spans="1:32" x14ac:dyDescent="0.35">
      <c r="A4" s="217" t="str">
        <f>Inputs!A3</f>
        <v xml:space="preserve">Discount Rate </v>
      </c>
      <c r="B4" s="217">
        <f>Inputs!B3</f>
        <v>7.0000000000000007E-2</v>
      </c>
    </row>
    <row r="5" spans="1:32" x14ac:dyDescent="0.35">
      <c r="A5" s="88" t="str">
        <f>Inputs!A10</f>
        <v>Discount year</v>
      </c>
      <c r="B5" s="88">
        <f>Inputs!B10</f>
        <v>2021</v>
      </c>
    </row>
    <row r="6" spans="1:32" x14ac:dyDescent="0.35">
      <c r="A6" s="88" t="str">
        <f>Inputs!A11</f>
        <v>Benefit Year</v>
      </c>
      <c r="B6" s="88">
        <f>Inputs!B11</f>
        <v>2028</v>
      </c>
      <c r="D6" s="6"/>
    </row>
    <row r="7" spans="1:32" x14ac:dyDescent="0.35">
      <c r="A7" s="218" t="str">
        <f>Inputs!A31</f>
        <v>Value of Time (2021$), all purposes</v>
      </c>
      <c r="B7" s="219">
        <f>Inputs!B31</f>
        <v>18.8</v>
      </c>
    </row>
    <row r="8" spans="1:32" x14ac:dyDescent="0.35">
      <c r="A8" s="218" t="str">
        <f>Inputs!A34</f>
        <v>Value of Time (2021$), bus driver</v>
      </c>
      <c r="B8" s="219">
        <f>Inputs!B34</f>
        <v>35</v>
      </c>
    </row>
    <row r="9" spans="1:32" ht="29" x14ac:dyDescent="0.35">
      <c r="A9" s="220" t="str">
        <f>Inputs!A19</f>
        <v>Average Corridor Travel Time Savings (hr per veh)</v>
      </c>
      <c r="B9" s="221">
        <f>Inputs!B19</f>
        <v>0.11666666666666667</v>
      </c>
    </row>
    <row r="10" spans="1:32" x14ac:dyDescent="0.35">
      <c r="A10" s="220" t="s">
        <v>342</v>
      </c>
      <c r="B10" s="342">
        <f>Inputs!B37*12</f>
        <v>288</v>
      </c>
    </row>
    <row r="11" spans="1:32" x14ac:dyDescent="0.35">
      <c r="A11" s="26" t="str">
        <f>Inputs!A36</f>
        <v>Average Annual paratransit bus passengers</v>
      </c>
      <c r="B11" s="343">
        <f>Inputs!B36</f>
        <v>18060</v>
      </c>
    </row>
    <row r="12" spans="1:32" x14ac:dyDescent="0.35">
      <c r="A12" s="26"/>
      <c r="B12" s="26"/>
    </row>
    <row r="13" spans="1:32" x14ac:dyDescent="0.35">
      <c r="A13" s="26" t="str">
        <f>Inputs!A16</f>
        <v>Annual Growth Rate (CAGR)</v>
      </c>
      <c r="B13" s="266">
        <f>Inputs!B16</f>
        <v>0.02</v>
      </c>
      <c r="AE13" s="7"/>
      <c r="AF13" s="7"/>
    </row>
    <row r="14" spans="1:32" x14ac:dyDescent="0.35">
      <c r="B14" s="9"/>
      <c r="AE14" s="7"/>
      <c r="AF14" s="7"/>
    </row>
    <row r="15" spans="1:32" x14ac:dyDescent="0.35">
      <c r="B15" t="s">
        <v>123</v>
      </c>
      <c r="E15" s="7"/>
    </row>
    <row r="16" spans="1:32" ht="58" x14ac:dyDescent="0.35">
      <c r="A16" s="71" t="s">
        <v>144</v>
      </c>
      <c r="B16" s="53" t="s">
        <v>145</v>
      </c>
      <c r="C16" s="53" t="s">
        <v>343</v>
      </c>
      <c r="D16" s="53" t="s">
        <v>344</v>
      </c>
      <c r="E16" s="53" t="s">
        <v>345</v>
      </c>
      <c r="F16" s="54" t="s">
        <v>346</v>
      </c>
      <c r="G16" s="54" t="s">
        <v>347</v>
      </c>
      <c r="H16" s="53" t="s">
        <v>348</v>
      </c>
    </row>
    <row r="17" spans="1:8" x14ac:dyDescent="0.35">
      <c r="A17" s="110">
        <f>IF((B17&gt;(Inputs!$B$7+Inputs!$B$8)),0,IF((B17&lt;Inputs!$B$7),0,((B17-Inputs!$B$7))))</f>
        <v>1</v>
      </c>
      <c r="B17" s="50">
        <f>B6</f>
        <v>2028</v>
      </c>
      <c r="C17" s="97">
        <f>$B$11*$B$9</f>
        <v>2107</v>
      </c>
      <c r="D17" s="97">
        <f>B10*B9</f>
        <v>33.6</v>
      </c>
      <c r="E17" s="72">
        <f t="shared" ref="E17:E36" si="0">C17*$B$7</f>
        <v>39611.599999999999</v>
      </c>
      <c r="F17" s="72">
        <f>SUM(D17*$B$8)</f>
        <v>1176</v>
      </c>
      <c r="G17" s="111">
        <f>SUM(E17:F17)</f>
        <v>40787.599999999999</v>
      </c>
      <c r="H17" s="72">
        <f>ROUND($G17/((1+B$4)^($B17-$B$5)),0)</f>
        <v>25400</v>
      </c>
    </row>
    <row r="18" spans="1:8" x14ac:dyDescent="0.35">
      <c r="A18" s="110">
        <f>IF((B18&gt;(Inputs!$B$7+Inputs!$B$8)),0,IF((B18&lt;Inputs!$B$7),0,((B18-Inputs!$B$7))))</f>
        <v>2</v>
      </c>
      <c r="B18" s="50">
        <f>B17+1</f>
        <v>2029</v>
      </c>
      <c r="C18" s="97">
        <f>C17*(1+$B$13)</f>
        <v>2149.14</v>
      </c>
      <c r="D18" s="97">
        <f>D17*(1+$B$13)</f>
        <v>34.272000000000006</v>
      </c>
      <c r="E18" s="72">
        <f t="shared" si="0"/>
        <v>40403.832000000002</v>
      </c>
      <c r="F18" s="72">
        <f t="shared" ref="F18:F36" si="1">SUM(D18*$B$8)</f>
        <v>1199.5200000000002</v>
      </c>
      <c r="G18" s="111">
        <f t="shared" ref="G18:G36" si="2">SUM(E18:F18)</f>
        <v>41603.351999999999</v>
      </c>
      <c r="H18" s="72">
        <f t="shared" ref="H18:H36" si="3">ROUND($G18/((1+B$4)^($B18-$B$5)),0)</f>
        <v>24214</v>
      </c>
    </row>
    <row r="19" spans="1:8" x14ac:dyDescent="0.35">
      <c r="A19" s="110">
        <f>IF((B19&gt;(Inputs!$B$7+Inputs!$B$8)),0,IF((B19&lt;Inputs!$B$7),0,((B19-Inputs!$B$7))))</f>
        <v>3</v>
      </c>
      <c r="B19" s="50">
        <f t="shared" ref="B19:B36" si="4">B18+1</f>
        <v>2030</v>
      </c>
      <c r="C19" s="97">
        <f t="shared" ref="C19:C36" si="5">C18*(1+$B$13)</f>
        <v>2192.1228000000001</v>
      </c>
      <c r="D19" s="97">
        <f t="shared" ref="D19:D36" si="6">D18*(1+$B$13)</f>
        <v>34.957440000000005</v>
      </c>
      <c r="E19" s="72">
        <f t="shared" si="0"/>
        <v>41211.908640000001</v>
      </c>
      <c r="F19" s="72">
        <f t="shared" si="1"/>
        <v>1223.5104000000001</v>
      </c>
      <c r="G19" s="111">
        <f t="shared" si="2"/>
        <v>42435.419040000001</v>
      </c>
      <c r="H19" s="72">
        <f t="shared" si="3"/>
        <v>23082</v>
      </c>
    </row>
    <row r="20" spans="1:8" x14ac:dyDescent="0.35">
      <c r="A20" s="110">
        <f>IF((B20&gt;(Inputs!$B$7+Inputs!$B$8)),0,IF((B20&lt;Inputs!$B$7),0,((B20-Inputs!$B$7))))</f>
        <v>4</v>
      </c>
      <c r="B20" s="50">
        <f t="shared" si="4"/>
        <v>2031</v>
      </c>
      <c r="C20" s="97">
        <f t="shared" si="5"/>
        <v>2235.965256</v>
      </c>
      <c r="D20" s="97">
        <f t="shared" si="6"/>
        <v>35.656588800000009</v>
      </c>
      <c r="E20" s="72">
        <f t="shared" si="0"/>
        <v>42036.146812799998</v>
      </c>
      <c r="F20" s="72">
        <f t="shared" si="1"/>
        <v>1247.9806080000003</v>
      </c>
      <c r="G20" s="111">
        <f t="shared" si="2"/>
        <v>43284.127420799996</v>
      </c>
      <c r="H20" s="72">
        <f t="shared" si="3"/>
        <v>22003</v>
      </c>
    </row>
    <row r="21" spans="1:8" x14ac:dyDescent="0.35">
      <c r="A21" s="110">
        <f>IF((B21&gt;(Inputs!$B$7+Inputs!$B$8)),0,IF((B21&lt;Inputs!$B$7),0,((B21-Inputs!$B$7))))</f>
        <v>5</v>
      </c>
      <c r="B21" s="50">
        <f>B20+1</f>
        <v>2032</v>
      </c>
      <c r="C21" s="97">
        <f t="shared" si="5"/>
        <v>2280.6845611200001</v>
      </c>
      <c r="D21" s="97">
        <f t="shared" si="6"/>
        <v>36.369720576000006</v>
      </c>
      <c r="E21" s="72">
        <f t="shared" si="0"/>
        <v>42876.869749056001</v>
      </c>
      <c r="F21" s="72">
        <f t="shared" si="1"/>
        <v>1272.9402201600003</v>
      </c>
      <c r="G21" s="111">
        <f t="shared" si="2"/>
        <v>44149.809969216003</v>
      </c>
      <c r="H21" s="72">
        <f t="shared" si="3"/>
        <v>20975</v>
      </c>
    </row>
    <row r="22" spans="1:8" x14ac:dyDescent="0.35">
      <c r="A22" s="110">
        <f>IF((B22&gt;(Inputs!$B$7+Inputs!$B$8)),0,IF((B22&lt;Inputs!$B$7),0,((B22-Inputs!$B$7))))</f>
        <v>6</v>
      </c>
      <c r="B22" s="50">
        <f>B21+1</f>
        <v>2033</v>
      </c>
      <c r="C22" s="97">
        <f t="shared" si="5"/>
        <v>2326.2982523424002</v>
      </c>
      <c r="D22" s="97">
        <f t="shared" si="6"/>
        <v>37.097114987520008</v>
      </c>
      <c r="E22" s="72">
        <f t="shared" si="0"/>
        <v>43734.407144037126</v>
      </c>
      <c r="F22" s="72">
        <f t="shared" si="1"/>
        <v>1298.3990245632003</v>
      </c>
      <c r="G22" s="111">
        <f t="shared" si="2"/>
        <v>45032.806168600328</v>
      </c>
      <c r="H22" s="72">
        <f t="shared" si="3"/>
        <v>19995</v>
      </c>
    </row>
    <row r="23" spans="1:8" x14ac:dyDescent="0.35">
      <c r="A23" s="110">
        <f>IF((B23&gt;(Inputs!$B$7+Inputs!$B$8)),0,IF((B23&lt;Inputs!$B$7),0,((B23-Inputs!$B$7))))</f>
        <v>7</v>
      </c>
      <c r="B23" s="50">
        <f t="shared" si="4"/>
        <v>2034</v>
      </c>
      <c r="C23" s="97">
        <f t="shared" si="5"/>
        <v>2372.8242173892481</v>
      </c>
      <c r="D23" s="97">
        <f t="shared" si="6"/>
        <v>37.839057287270407</v>
      </c>
      <c r="E23" s="72">
        <f t="shared" si="0"/>
        <v>44609.095286917865</v>
      </c>
      <c r="F23" s="72">
        <f t="shared" si="1"/>
        <v>1324.3670050544642</v>
      </c>
      <c r="G23" s="111">
        <f t="shared" si="2"/>
        <v>45933.462291972333</v>
      </c>
      <c r="H23" s="72">
        <f t="shared" si="3"/>
        <v>19061</v>
      </c>
    </row>
    <row r="24" spans="1:8" x14ac:dyDescent="0.35">
      <c r="A24" s="110">
        <f>IF((B24&gt;(Inputs!$B$7+Inputs!$B$8)),0,IF((B24&lt;Inputs!$B$7),0,((B24-Inputs!$B$7))))</f>
        <v>8</v>
      </c>
      <c r="B24" s="50">
        <f t="shared" si="4"/>
        <v>2035</v>
      </c>
      <c r="C24" s="97">
        <f t="shared" si="5"/>
        <v>2420.2807017370333</v>
      </c>
      <c r="D24" s="97">
        <f t="shared" si="6"/>
        <v>38.595838433015814</v>
      </c>
      <c r="E24" s="72">
        <f t="shared" si="0"/>
        <v>45501.277192656227</v>
      </c>
      <c r="F24" s="72">
        <f t="shared" si="1"/>
        <v>1350.8543451555536</v>
      </c>
      <c r="G24" s="111">
        <f t="shared" si="2"/>
        <v>46852.13153781178</v>
      </c>
      <c r="H24" s="72">
        <f t="shared" si="3"/>
        <v>18170</v>
      </c>
    </row>
    <row r="25" spans="1:8" x14ac:dyDescent="0.35">
      <c r="A25" s="110">
        <f>IF((B25&gt;(Inputs!$B$7+Inputs!$B$8)),0,IF((B25&lt;Inputs!$B$7),0,((B25-Inputs!$B$7))))</f>
        <v>9</v>
      </c>
      <c r="B25" s="50">
        <f t="shared" si="4"/>
        <v>2036</v>
      </c>
      <c r="C25" s="97">
        <f t="shared" si="5"/>
        <v>2468.6863157717739</v>
      </c>
      <c r="D25" s="97">
        <f t="shared" si="6"/>
        <v>39.367755201676133</v>
      </c>
      <c r="E25" s="72">
        <f t="shared" si="0"/>
        <v>46411.302736509351</v>
      </c>
      <c r="F25" s="72">
        <f t="shared" si="1"/>
        <v>1377.8714320586646</v>
      </c>
      <c r="G25" s="111">
        <f t="shared" si="2"/>
        <v>47789.174168568017</v>
      </c>
      <c r="H25" s="72">
        <f t="shared" si="3"/>
        <v>17321</v>
      </c>
    </row>
    <row r="26" spans="1:8" x14ac:dyDescent="0.35">
      <c r="A26" s="110">
        <f>IF((B26&gt;(Inputs!$B$7+Inputs!$B$8)),0,IF((B26&lt;Inputs!$B$7),0,((B26-Inputs!$B$7))))</f>
        <v>10</v>
      </c>
      <c r="B26" s="50">
        <f t="shared" si="4"/>
        <v>2037</v>
      </c>
      <c r="C26" s="97">
        <f t="shared" si="5"/>
        <v>2518.0600420872092</v>
      </c>
      <c r="D26" s="97">
        <f t="shared" si="6"/>
        <v>40.155110305709655</v>
      </c>
      <c r="E26" s="72">
        <f t="shared" si="0"/>
        <v>47339.528791239536</v>
      </c>
      <c r="F26" s="72">
        <f t="shared" si="1"/>
        <v>1405.428860699838</v>
      </c>
      <c r="G26" s="111">
        <f t="shared" si="2"/>
        <v>48744.957651939374</v>
      </c>
      <c r="H26" s="72">
        <f t="shared" si="3"/>
        <v>16512</v>
      </c>
    </row>
    <row r="27" spans="1:8" x14ac:dyDescent="0.35">
      <c r="A27" s="110">
        <f>IF((B27&gt;(Inputs!$B$7+Inputs!$B$8)),0,IF((B27&lt;Inputs!$B$7),0,((B27-Inputs!$B$7))))</f>
        <v>11</v>
      </c>
      <c r="B27" s="50">
        <f t="shared" si="4"/>
        <v>2038</v>
      </c>
      <c r="C27" s="97">
        <f t="shared" si="5"/>
        <v>2568.4212429289537</v>
      </c>
      <c r="D27" s="97">
        <f t="shared" si="6"/>
        <v>40.958212511823852</v>
      </c>
      <c r="E27" s="72">
        <f t="shared" si="0"/>
        <v>48286.31936706433</v>
      </c>
      <c r="F27" s="72">
        <f t="shared" si="1"/>
        <v>1433.5374379138348</v>
      </c>
      <c r="G27" s="111">
        <f t="shared" si="2"/>
        <v>49719.856804978168</v>
      </c>
      <c r="H27" s="72">
        <f t="shared" si="3"/>
        <v>15740</v>
      </c>
    </row>
    <row r="28" spans="1:8" x14ac:dyDescent="0.35">
      <c r="A28" s="110">
        <f>IF((B28&gt;(Inputs!$B$7+Inputs!$B$8)),0,IF((B28&lt;Inputs!$B$7),0,((B28-Inputs!$B$7))))</f>
        <v>12</v>
      </c>
      <c r="B28" s="50">
        <f t="shared" si="4"/>
        <v>2039</v>
      </c>
      <c r="C28" s="97">
        <f t="shared" si="5"/>
        <v>2619.7896677875328</v>
      </c>
      <c r="D28" s="97">
        <f t="shared" si="6"/>
        <v>41.777376762060328</v>
      </c>
      <c r="E28" s="72">
        <f t="shared" si="0"/>
        <v>49252.045754405619</v>
      </c>
      <c r="F28" s="72">
        <f t="shared" si="1"/>
        <v>1462.2081866721114</v>
      </c>
      <c r="G28" s="111">
        <f t="shared" si="2"/>
        <v>50714.253941077732</v>
      </c>
      <c r="H28" s="72">
        <f t="shared" si="3"/>
        <v>15005</v>
      </c>
    </row>
    <row r="29" spans="1:8" x14ac:dyDescent="0.35">
      <c r="A29" s="110">
        <f>IF((B29&gt;(Inputs!$B$7+Inputs!$B$8)),0,IF((B29&lt;Inputs!$B$7),0,((B29-Inputs!$B$7))))</f>
        <v>13</v>
      </c>
      <c r="B29" s="50">
        <f t="shared" si="4"/>
        <v>2040</v>
      </c>
      <c r="C29" s="97">
        <f t="shared" si="5"/>
        <v>2672.1854611432836</v>
      </c>
      <c r="D29" s="97">
        <f t="shared" si="6"/>
        <v>42.612924297301532</v>
      </c>
      <c r="E29" s="72">
        <f t="shared" si="0"/>
        <v>50237.086669493736</v>
      </c>
      <c r="F29" s="72">
        <f t="shared" si="1"/>
        <v>1491.4523504055537</v>
      </c>
      <c r="G29" s="111">
        <f t="shared" si="2"/>
        <v>51728.53901989929</v>
      </c>
      <c r="H29" s="72">
        <f t="shared" si="3"/>
        <v>14303</v>
      </c>
    </row>
    <row r="30" spans="1:8" x14ac:dyDescent="0.35">
      <c r="A30" s="110">
        <f>IF((B30&gt;(Inputs!$B$7+Inputs!$B$8)),0,IF((B30&lt;Inputs!$B$7),0,((B30-Inputs!$B$7))))</f>
        <v>14</v>
      </c>
      <c r="B30" s="50">
        <f t="shared" si="4"/>
        <v>2041</v>
      </c>
      <c r="C30" s="97">
        <f t="shared" si="5"/>
        <v>2725.6291703661495</v>
      </c>
      <c r="D30" s="97">
        <f t="shared" si="6"/>
        <v>43.465182783247563</v>
      </c>
      <c r="E30" s="72">
        <f t="shared" si="0"/>
        <v>51241.828402883613</v>
      </c>
      <c r="F30" s="72">
        <f t="shared" si="1"/>
        <v>1521.2813974136648</v>
      </c>
      <c r="G30" s="111">
        <f t="shared" si="2"/>
        <v>52763.109800297279</v>
      </c>
      <c r="H30" s="72">
        <f t="shared" si="3"/>
        <v>13635</v>
      </c>
    </row>
    <row r="31" spans="1:8" x14ac:dyDescent="0.35">
      <c r="A31" s="110">
        <f>IF((B31&gt;(Inputs!$B$7+Inputs!$B$8)),0,IF((B31&lt;Inputs!$B$7),0,((B31-Inputs!$B$7))))</f>
        <v>15</v>
      </c>
      <c r="B31" s="50">
        <f t="shared" si="4"/>
        <v>2042</v>
      </c>
      <c r="C31" s="97">
        <f t="shared" si="5"/>
        <v>2780.1417537734724</v>
      </c>
      <c r="D31" s="97">
        <f t="shared" si="6"/>
        <v>44.334486438912514</v>
      </c>
      <c r="E31" s="72">
        <f t="shared" si="0"/>
        <v>52266.664970941281</v>
      </c>
      <c r="F31" s="72">
        <f t="shared" si="1"/>
        <v>1551.7070253619379</v>
      </c>
      <c r="G31" s="111">
        <f t="shared" si="2"/>
        <v>53818.37199630322</v>
      </c>
      <c r="H31" s="72">
        <f t="shared" si="3"/>
        <v>12998</v>
      </c>
    </row>
    <row r="32" spans="1:8" x14ac:dyDescent="0.35">
      <c r="A32" s="110">
        <f>IF((B32&gt;(Inputs!$B$7+Inputs!$B$8)),0,IF((B32&lt;Inputs!$B$7),0,((B32-Inputs!$B$7))))</f>
        <v>16</v>
      </c>
      <c r="B32" s="50">
        <f t="shared" si="4"/>
        <v>2043</v>
      </c>
      <c r="C32" s="97">
        <f t="shared" si="5"/>
        <v>2835.7445888489419</v>
      </c>
      <c r="D32" s="97">
        <f t="shared" si="6"/>
        <v>45.221176167690764</v>
      </c>
      <c r="E32" s="72">
        <f t="shared" si="0"/>
        <v>53311.998270360113</v>
      </c>
      <c r="F32" s="72">
        <f t="shared" si="1"/>
        <v>1582.7411658691767</v>
      </c>
      <c r="G32" s="111">
        <f t="shared" si="2"/>
        <v>54894.739436229291</v>
      </c>
      <c r="H32" s="72">
        <f t="shared" si="3"/>
        <v>12390</v>
      </c>
    </row>
    <row r="33" spans="1:8" x14ac:dyDescent="0.35">
      <c r="A33" s="110">
        <f>IF((B33&gt;(Inputs!$B$7+Inputs!$B$8)),0,IF((B33&lt;Inputs!$B$7),0,((B33-Inputs!$B$7))))</f>
        <v>17</v>
      </c>
      <c r="B33" s="50">
        <f t="shared" si="4"/>
        <v>2044</v>
      </c>
      <c r="C33" s="97">
        <f t="shared" si="5"/>
        <v>2892.4594806259206</v>
      </c>
      <c r="D33" s="97">
        <f t="shared" si="6"/>
        <v>46.125599691044577</v>
      </c>
      <c r="E33" s="72">
        <f t="shared" si="0"/>
        <v>54378.238235767312</v>
      </c>
      <c r="F33" s="72">
        <f t="shared" si="1"/>
        <v>1614.3959891865602</v>
      </c>
      <c r="G33" s="111">
        <f t="shared" si="2"/>
        <v>55992.634224953872</v>
      </c>
      <c r="H33" s="72">
        <f t="shared" si="3"/>
        <v>11811</v>
      </c>
    </row>
    <row r="34" spans="1:8" x14ac:dyDescent="0.35">
      <c r="A34" s="110">
        <f>IF((B34&gt;(Inputs!$B$7+Inputs!$B$8)),0,IF((B34&lt;Inputs!$B$7),0,((B34-Inputs!$B$7))))</f>
        <v>18</v>
      </c>
      <c r="B34" s="50">
        <f t="shared" si="4"/>
        <v>2045</v>
      </c>
      <c r="C34" s="97">
        <f t="shared" si="5"/>
        <v>2950.3086702384389</v>
      </c>
      <c r="D34" s="97">
        <f t="shared" si="6"/>
        <v>47.048111684865468</v>
      </c>
      <c r="E34" s="72">
        <f t="shared" si="0"/>
        <v>55465.803000482651</v>
      </c>
      <c r="F34" s="72">
        <f t="shared" si="1"/>
        <v>1646.6839089702914</v>
      </c>
      <c r="G34" s="111">
        <f t="shared" si="2"/>
        <v>57112.486909452942</v>
      </c>
      <c r="H34" s="72">
        <f t="shared" si="3"/>
        <v>11260</v>
      </c>
    </row>
    <row r="35" spans="1:8" x14ac:dyDescent="0.35">
      <c r="A35" s="110">
        <f>IF((B35&gt;(Inputs!$B$7+Inputs!$B$8)),0,IF((B35&lt;Inputs!$B$7),0,((B35-Inputs!$B$7))))</f>
        <v>19</v>
      </c>
      <c r="B35" s="50">
        <f t="shared" si="4"/>
        <v>2046</v>
      </c>
      <c r="C35" s="97">
        <f t="shared" si="5"/>
        <v>3009.314843643208</v>
      </c>
      <c r="D35" s="97">
        <f t="shared" si="6"/>
        <v>47.989073918562781</v>
      </c>
      <c r="E35" s="72">
        <f t="shared" si="0"/>
        <v>56575.11906049231</v>
      </c>
      <c r="F35" s="72">
        <f t="shared" si="1"/>
        <v>1679.6175871496973</v>
      </c>
      <c r="G35" s="111">
        <f t="shared" si="2"/>
        <v>58254.736647642007</v>
      </c>
      <c r="H35" s="72">
        <f t="shared" si="3"/>
        <v>10733</v>
      </c>
    </row>
    <row r="36" spans="1:8" x14ac:dyDescent="0.35">
      <c r="A36" s="110">
        <f>IF((B36&gt;(Inputs!$B$7+Inputs!$B$8)),0,IF((B36&lt;Inputs!$B$7),0,((B36-Inputs!$B$7))))</f>
        <v>20</v>
      </c>
      <c r="B36" s="50">
        <f t="shared" si="4"/>
        <v>2047</v>
      </c>
      <c r="C36" s="97">
        <f t="shared" si="5"/>
        <v>3069.5011405160722</v>
      </c>
      <c r="D36" s="97">
        <f t="shared" si="6"/>
        <v>48.948855396934036</v>
      </c>
      <c r="E36" s="72">
        <f t="shared" si="0"/>
        <v>57706.621441702162</v>
      </c>
      <c r="F36" s="72">
        <f t="shared" si="1"/>
        <v>1713.2099388926913</v>
      </c>
      <c r="G36" s="111">
        <f t="shared" si="2"/>
        <v>59419.831380594856</v>
      </c>
      <c r="H36" s="72">
        <f t="shared" si="3"/>
        <v>10232</v>
      </c>
    </row>
    <row r="37" spans="1:8" x14ac:dyDescent="0.35">
      <c r="A37" s="110"/>
      <c r="B37" s="50"/>
      <c r="C37" s="51" t="s">
        <v>349</v>
      </c>
      <c r="D37" s="51"/>
      <c r="E37" s="95">
        <f>SUM(E17:E36)</f>
        <v>962457.69352680922</v>
      </c>
      <c r="F37" s="95">
        <f t="shared" ref="F37:H37" si="7">SUM(F17:F36)</f>
        <v>28573.70688352724</v>
      </c>
      <c r="G37" s="95">
        <f t="shared" si="7"/>
        <v>991031.40041033644</v>
      </c>
      <c r="H37" s="95">
        <f t="shared" si="7"/>
        <v>334840</v>
      </c>
    </row>
    <row r="38" spans="1:8" x14ac:dyDescent="0.35">
      <c r="D38" s="5"/>
    </row>
  </sheetData>
  <sheetProtection algorithmName="SHA-512" hashValue="BoBph77ORunXkEjJlh4VT9GChmRUyf3rUe4rcjKnX8ewvrA93zgzu3zEBWvflzAw1LLS2FVDIR/BPW/eQvsm4Q==" saltValue="Jyys7Qdv8eDefhDrv/Lapg==" spinCount="100000" sheet="1" objects="1" scenarios="1"/>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03034-1ECC-48B7-A501-8259E2A4FEC3}">
  <dimension ref="A1:R39"/>
  <sheetViews>
    <sheetView topLeftCell="A5" zoomScaleNormal="100" workbookViewId="0">
      <selection activeCell="E12" sqref="E12"/>
    </sheetView>
  </sheetViews>
  <sheetFormatPr defaultRowHeight="14.5" x14ac:dyDescent="0.35"/>
  <cols>
    <col min="2" max="2" width="25.54296875" customWidth="1"/>
    <col min="3" max="3" width="13" customWidth="1"/>
    <col min="4" max="4" width="11.26953125" customWidth="1"/>
    <col min="5" max="5" width="18.7265625" customWidth="1"/>
    <col min="6" max="8" width="11.26953125" customWidth="1"/>
    <col min="9" max="9" width="13.7265625" bestFit="1" customWidth="1"/>
    <col min="10" max="10" width="11.7265625" customWidth="1"/>
  </cols>
  <sheetData>
    <row r="1" spans="2:18" x14ac:dyDescent="0.35">
      <c r="B1" s="5" t="s">
        <v>116</v>
      </c>
    </row>
    <row r="2" spans="2:18" x14ac:dyDescent="0.35">
      <c r="B2" t="s">
        <v>442</v>
      </c>
    </row>
    <row r="4" spans="2:18" x14ac:dyDescent="0.35">
      <c r="B4" s="30" t="str">
        <f>Inputs!A3</f>
        <v xml:space="preserve">Discount Rate </v>
      </c>
      <c r="C4" s="7">
        <f>Inputs!B3</f>
        <v>7.0000000000000007E-2</v>
      </c>
      <c r="E4" t="s">
        <v>443</v>
      </c>
      <c r="F4">
        <f>Q5</f>
        <v>1</v>
      </c>
      <c r="M4" t="s">
        <v>444</v>
      </c>
      <c r="O4" t="s">
        <v>445</v>
      </c>
      <c r="Q4" t="s">
        <v>446</v>
      </c>
    </row>
    <row r="5" spans="2:18" x14ac:dyDescent="0.35">
      <c r="B5" s="30" t="str">
        <f>Inputs!A10</f>
        <v>Discount year</v>
      </c>
      <c r="C5" s="30">
        <f>Inputs!B10</f>
        <v>2021</v>
      </c>
      <c r="E5" t="s">
        <v>447</v>
      </c>
      <c r="F5" s="7">
        <v>0.4</v>
      </c>
      <c r="G5" t="s">
        <v>39</v>
      </c>
      <c r="M5">
        <v>4</v>
      </c>
      <c r="N5" t="s">
        <v>448</v>
      </c>
      <c r="O5">
        <v>5</v>
      </c>
      <c r="Q5">
        <f>O5-M5</f>
        <v>1</v>
      </c>
      <c r="R5" t="s">
        <v>449</v>
      </c>
    </row>
    <row r="6" spans="2:18" x14ac:dyDescent="0.35">
      <c r="B6" s="30" t="str">
        <f>Inputs!A11</f>
        <v>Benefit Year</v>
      </c>
      <c r="C6" s="30">
        <f>Inputs!B11</f>
        <v>2028</v>
      </c>
      <c r="E6" t="s">
        <v>450</v>
      </c>
      <c r="F6">
        <f>F5*F4</f>
        <v>0.4</v>
      </c>
      <c r="M6">
        <v>2.2999999999999998</v>
      </c>
      <c r="N6" t="s">
        <v>451</v>
      </c>
      <c r="O6">
        <v>2.2000000000000002</v>
      </c>
    </row>
    <row r="7" spans="2:18" x14ac:dyDescent="0.35">
      <c r="B7" t="s">
        <v>20</v>
      </c>
      <c r="C7">
        <f>Inputs!B14</f>
        <v>320</v>
      </c>
    </row>
    <row r="8" spans="2:18" x14ac:dyDescent="0.35">
      <c r="B8" t="s">
        <v>139</v>
      </c>
      <c r="C8" s="58">
        <f>Inputs!B13</f>
        <v>0.06</v>
      </c>
    </row>
    <row r="9" spans="2:18" x14ac:dyDescent="0.35">
      <c r="B9" t="s">
        <v>452</v>
      </c>
      <c r="C9" s="38">
        <f>F6</f>
        <v>0.4</v>
      </c>
    </row>
    <row r="10" spans="2:18" x14ac:dyDescent="0.35">
      <c r="B10" t="s">
        <v>453</v>
      </c>
      <c r="C10" s="256">
        <f>C9/60</f>
        <v>6.6666666666666671E-3</v>
      </c>
    </row>
    <row r="11" spans="2:18" x14ac:dyDescent="0.35">
      <c r="B11" s="30" t="s">
        <v>24</v>
      </c>
      <c r="C11" s="173">
        <f>Inputs!B16</f>
        <v>0.02</v>
      </c>
    </row>
    <row r="12" spans="2:18" x14ac:dyDescent="0.35">
      <c r="B12" s="33" t="str">
        <f>Inputs!A31</f>
        <v>Value of Time (2021$), all purposes</v>
      </c>
      <c r="C12" s="33">
        <f>Inputs!B31</f>
        <v>18.8</v>
      </c>
    </row>
    <row r="13" spans="2:18" x14ac:dyDescent="0.35">
      <c r="B13" s="33" t="str">
        <f>Inputs!A32</f>
        <v>Value of Time, (2021$), truck driver per hour</v>
      </c>
      <c r="C13" s="33">
        <f>Inputs!B32</f>
        <v>32.4</v>
      </c>
    </row>
    <row r="14" spans="2:18" x14ac:dyDescent="0.35">
      <c r="B14" s="33" t="str">
        <f>Inputs!A33</f>
        <v>Truck operating costs per hour (2021$)</v>
      </c>
      <c r="C14" s="33">
        <f>Inputs!B33</f>
        <v>49.140000000000008</v>
      </c>
    </row>
    <row r="15" spans="2:18" x14ac:dyDescent="0.35">
      <c r="B15" s="30" t="s">
        <v>454</v>
      </c>
      <c r="C15" s="238">
        <f>Inputs!B25</f>
        <v>1.67</v>
      </c>
    </row>
    <row r="16" spans="2:18" x14ac:dyDescent="0.35">
      <c r="B16" s="30" t="s">
        <v>455</v>
      </c>
      <c r="C16" s="313">
        <v>0.5</v>
      </c>
    </row>
    <row r="18" spans="1:10" ht="29" x14ac:dyDescent="0.35">
      <c r="A18" s="236"/>
      <c r="B18" s="91" t="s">
        <v>145</v>
      </c>
      <c r="C18" s="53" t="s">
        <v>370</v>
      </c>
      <c r="D18" s="53" t="s">
        <v>456</v>
      </c>
      <c r="E18" s="53" t="s">
        <v>457</v>
      </c>
      <c r="F18" s="53" t="s">
        <v>458</v>
      </c>
      <c r="G18" s="53" t="s">
        <v>459</v>
      </c>
      <c r="H18" s="53" t="s">
        <v>460</v>
      </c>
      <c r="I18" s="53" t="s">
        <v>461</v>
      </c>
      <c r="J18" s="53" t="s">
        <v>462</v>
      </c>
    </row>
    <row r="19" spans="1:10" x14ac:dyDescent="0.35">
      <c r="A19" s="50">
        <f>IF((B19&gt;(Inputs!$B$7+Inputs!$B$8)),0,IF((B19&lt;Inputs!$B$7),0,((B19-Inputs!$B$7))))</f>
        <v>1</v>
      </c>
      <c r="B19" s="50">
        <f>C6</f>
        <v>2028</v>
      </c>
      <c r="C19" s="97">
        <f>_xlfn.XLOOKUP(B19,TrafficData!$G$8:$G$48,TrafficData!$H$8:$H$48)</f>
        <v>9959.1047385192596</v>
      </c>
      <c r="D19" s="237">
        <f>SUM(C19*$C$7)*$C$10*$C$16</f>
        <v>10623.045054420543</v>
      </c>
      <c r="E19" s="237">
        <f>SUM(D19*(1-$C$8))</f>
        <v>9985.6623511553098</v>
      </c>
      <c r="F19" s="237">
        <f>SUM(D19*($C$8))</f>
        <v>637.38270326523252</v>
      </c>
      <c r="G19" s="111">
        <f>$C$12*$C$15*E19</f>
        <v>313509.85517687211</v>
      </c>
      <c r="H19" s="111">
        <f>F19*($C$13+$C$14)</f>
        <v>51972.18562424706</v>
      </c>
      <c r="I19" s="111">
        <f>IF(A19&gt;0,SUM(H19,G19),0)</f>
        <v>365482.04080111918</v>
      </c>
      <c r="J19" s="72">
        <f>ROUND(I19/((1+C$4)^($B19-$C$5)),0)</f>
        <v>227604</v>
      </c>
    </row>
    <row r="20" spans="1:10" x14ac:dyDescent="0.35">
      <c r="A20" s="50">
        <f>IF((B20&gt;(Inputs!$B$7+Inputs!$B$8)),0,IF((B20&lt;Inputs!$B$7),0,((B20-Inputs!$B$7))))</f>
        <v>2</v>
      </c>
      <c r="B20" s="50">
        <f>B19+1</f>
        <v>2029</v>
      </c>
      <c r="C20" s="97">
        <f>_xlfn.XLOOKUP(B20,TrafficData!$G$8:$G$48,TrafficData!$H$8:$H$48)</f>
        <v>10158.286833289645</v>
      </c>
      <c r="D20" s="237">
        <f t="shared" ref="D20:D38" si="0">SUM(C20*$C$7)*$C$10*$C$16</f>
        <v>10835.505955508956</v>
      </c>
      <c r="E20" s="237">
        <f t="shared" ref="E20:E38" si="1">SUM(D20*(1-$C$8))</f>
        <v>10185.375598178418</v>
      </c>
      <c r="F20" s="237">
        <f t="shared" ref="F20:F38" si="2">SUM(D20*($C$8))</f>
        <v>650.13035733053732</v>
      </c>
      <c r="G20" s="111">
        <f t="shared" ref="G20:G38" si="3">$C$12*$C$15*E20</f>
        <v>319780.05228040961</v>
      </c>
      <c r="H20" s="111">
        <f t="shared" ref="H20:H38" si="4">F20*($C$13+$C$14)</f>
        <v>53011.629336732018</v>
      </c>
      <c r="I20" s="111">
        <f t="shared" ref="I20:I38" si="5">IF(A20&gt;0,SUM(H20,G20),0)</f>
        <v>372791.68161714164</v>
      </c>
      <c r="J20" s="72">
        <f t="shared" ref="J20:J38" si="6">ROUND(I20/((1+C$4)^($B20-$C$5)),0)</f>
        <v>216968</v>
      </c>
    </row>
    <row r="21" spans="1:10" x14ac:dyDescent="0.35">
      <c r="A21" s="50">
        <f>IF((B21&gt;(Inputs!$B$7+Inputs!$B$8)),0,IF((B21&lt;Inputs!$B$7),0,((B21-Inputs!$B$7))))</f>
        <v>3</v>
      </c>
      <c r="B21" s="50">
        <f t="shared" ref="B21:B38" si="7">B20+1</f>
        <v>2030</v>
      </c>
      <c r="C21" s="97">
        <f>_xlfn.XLOOKUP(B21,TrafficData!$G$8:$G$48,TrafficData!$H$8:$H$48)</f>
        <v>10361.452569955438</v>
      </c>
      <c r="D21" s="237">
        <f t="shared" si="0"/>
        <v>11052.216074619135</v>
      </c>
      <c r="E21" s="237">
        <f t="shared" si="1"/>
        <v>10389.083110141986</v>
      </c>
      <c r="F21" s="237">
        <f t="shared" si="2"/>
        <v>663.13296447714811</v>
      </c>
      <c r="G21" s="111">
        <f t="shared" si="3"/>
        <v>326175.65332601778</v>
      </c>
      <c r="H21" s="111">
        <f t="shared" si="4"/>
        <v>54071.861923466662</v>
      </c>
      <c r="I21" s="111">
        <f t="shared" si="5"/>
        <v>380247.51524948445</v>
      </c>
      <c r="J21" s="72">
        <f t="shared" si="6"/>
        <v>206829</v>
      </c>
    </row>
    <row r="22" spans="1:10" x14ac:dyDescent="0.35">
      <c r="A22" s="50">
        <f>IF((B22&gt;(Inputs!$B$7+Inputs!$B$8)),0,IF((B22&lt;Inputs!$B$7),0,((B22-Inputs!$B$7))))</f>
        <v>4</v>
      </c>
      <c r="B22" s="50">
        <f t="shared" si="7"/>
        <v>2031</v>
      </c>
      <c r="C22" s="97">
        <f>_xlfn.XLOOKUP(B22,TrafficData!$G$8:$G$48,TrafficData!$H$8:$H$48)</f>
        <v>10568.681621354546</v>
      </c>
      <c r="D22" s="237">
        <f t="shared" si="0"/>
        <v>11273.260396111516</v>
      </c>
      <c r="E22" s="237">
        <f t="shared" si="1"/>
        <v>10596.864772344825</v>
      </c>
      <c r="F22" s="237">
        <f t="shared" si="2"/>
        <v>676.39562376669096</v>
      </c>
      <c r="G22" s="111">
        <f t="shared" si="3"/>
        <v>332699.16639253811</v>
      </c>
      <c r="H22" s="111">
        <f t="shared" si="4"/>
        <v>55153.299161935982</v>
      </c>
      <c r="I22" s="111">
        <f t="shared" si="5"/>
        <v>387852.4655544741</v>
      </c>
      <c r="J22" s="72">
        <f t="shared" si="6"/>
        <v>197165</v>
      </c>
    </row>
    <row r="23" spans="1:10" x14ac:dyDescent="0.35">
      <c r="A23" s="50">
        <f>IF((B23&gt;(Inputs!$B$7+Inputs!$B$8)),0,IF((B23&lt;Inputs!$B$7),0,((B23-Inputs!$B$7))))</f>
        <v>5</v>
      </c>
      <c r="B23" s="50">
        <f t="shared" si="7"/>
        <v>2032</v>
      </c>
      <c r="C23" s="97">
        <f>_xlfn.XLOOKUP(B23,TrafficData!$G$8:$G$48,TrafficData!$H$8:$H$48)</f>
        <v>10780.055253781637</v>
      </c>
      <c r="D23" s="237">
        <f t="shared" si="0"/>
        <v>11498.725604033747</v>
      </c>
      <c r="E23" s="237">
        <f t="shared" si="1"/>
        <v>10808.802067791721</v>
      </c>
      <c r="F23" s="237">
        <f t="shared" si="2"/>
        <v>689.92353624202474</v>
      </c>
      <c r="G23" s="111">
        <f t="shared" si="3"/>
        <v>339353.14972038887</v>
      </c>
      <c r="H23" s="111">
        <f t="shared" si="4"/>
        <v>56256.365145174699</v>
      </c>
      <c r="I23" s="111">
        <f t="shared" si="5"/>
        <v>395609.5148655636</v>
      </c>
      <c r="J23" s="72">
        <f t="shared" si="6"/>
        <v>187951</v>
      </c>
    </row>
    <row r="24" spans="1:10" x14ac:dyDescent="0.35">
      <c r="A24" s="50">
        <f>IF((B24&gt;(Inputs!$B$7+Inputs!$B$8)),0,IF((B24&lt;Inputs!$B$7),0,((B24-Inputs!$B$7))))</f>
        <v>6</v>
      </c>
      <c r="B24" s="50">
        <f t="shared" si="7"/>
        <v>2033</v>
      </c>
      <c r="C24" s="97">
        <f>_xlfn.XLOOKUP(B24,TrafficData!$G$8:$G$48,TrafficData!$H$8:$H$48)</f>
        <v>10995.65635885727</v>
      </c>
      <c r="D24" s="237">
        <f t="shared" si="0"/>
        <v>11728.700116114422</v>
      </c>
      <c r="E24" s="237">
        <f t="shared" si="1"/>
        <v>11024.978109147556</v>
      </c>
      <c r="F24" s="237">
        <f t="shared" si="2"/>
        <v>703.72200696686525</v>
      </c>
      <c r="G24" s="111">
        <f t="shared" si="3"/>
        <v>346140.21271479665</v>
      </c>
      <c r="H24" s="111">
        <f t="shared" si="4"/>
        <v>57381.492448078199</v>
      </c>
      <c r="I24" s="111">
        <f t="shared" si="5"/>
        <v>403521.70516287483</v>
      </c>
      <c r="J24" s="72">
        <f t="shared" si="6"/>
        <v>179168</v>
      </c>
    </row>
    <row r="25" spans="1:10" x14ac:dyDescent="0.35">
      <c r="A25" s="50">
        <f>IF((B25&gt;(Inputs!$B$7+Inputs!$B$8)),0,IF((B25&lt;Inputs!$B$7),0,((B25-Inputs!$B$7))))</f>
        <v>7</v>
      </c>
      <c r="B25" s="50">
        <f t="shared" si="7"/>
        <v>2034</v>
      </c>
      <c r="C25" s="97">
        <f>_xlfn.XLOOKUP(B25,TrafficData!$G$8:$G$48,TrafficData!$H$8:$H$48)</f>
        <v>11215.569486034416</v>
      </c>
      <c r="D25" s="237">
        <f t="shared" si="0"/>
        <v>11963.274118436711</v>
      </c>
      <c r="E25" s="237">
        <f t="shared" si="1"/>
        <v>11245.477671330507</v>
      </c>
      <c r="F25" s="237">
        <f t="shared" si="2"/>
        <v>717.79644710620266</v>
      </c>
      <c r="G25" s="111">
        <f t="shared" si="3"/>
        <v>353063.0169690926</v>
      </c>
      <c r="H25" s="111">
        <f t="shared" si="4"/>
        <v>58529.122297039772</v>
      </c>
      <c r="I25" s="111">
        <f t="shared" si="5"/>
        <v>411592.13926613238</v>
      </c>
      <c r="J25" s="72">
        <f t="shared" si="6"/>
        <v>170796</v>
      </c>
    </row>
    <row r="26" spans="1:10" x14ac:dyDescent="0.35">
      <c r="A26" s="50">
        <f>IF((B26&gt;(Inputs!$B$7+Inputs!$B$8)),0,IF((B26&lt;Inputs!$B$7),0,((B26-Inputs!$B$7))))</f>
        <v>8</v>
      </c>
      <c r="B26" s="50">
        <f t="shared" si="7"/>
        <v>2035</v>
      </c>
      <c r="C26" s="97">
        <f>_xlfn.XLOOKUP(B26,TrafficData!$G$8:$G$48,TrafficData!$H$8:$H$48)</f>
        <v>11439.880875755103</v>
      </c>
      <c r="D26" s="237">
        <f t="shared" si="0"/>
        <v>12202.539600805443</v>
      </c>
      <c r="E26" s="237">
        <f t="shared" si="1"/>
        <v>11470.387224757116</v>
      </c>
      <c r="F26" s="237">
        <f t="shared" si="2"/>
        <v>732.15237604832657</v>
      </c>
      <c r="G26" s="111">
        <f t="shared" si="3"/>
        <v>360124.27730847441</v>
      </c>
      <c r="H26" s="111">
        <f t="shared" si="4"/>
        <v>59699.704742980553</v>
      </c>
      <c r="I26" s="111">
        <f t="shared" si="5"/>
        <v>419823.98205145495</v>
      </c>
      <c r="J26" s="72">
        <f t="shared" si="6"/>
        <v>162815</v>
      </c>
    </row>
    <row r="27" spans="1:10" x14ac:dyDescent="0.35">
      <c r="A27" s="50">
        <f>IF((B27&gt;(Inputs!$B$7+Inputs!$B$8)),0,IF((B27&lt;Inputs!$B$7),0,((B27-Inputs!$B$7))))</f>
        <v>9</v>
      </c>
      <c r="B27" s="50">
        <f t="shared" si="7"/>
        <v>2036</v>
      </c>
      <c r="C27" s="97">
        <f>_xlfn.XLOOKUP(B27,TrafficData!$G$8:$G$48,TrafficData!$H$8:$H$48)</f>
        <v>11668.678493270205</v>
      </c>
      <c r="D27" s="237">
        <f t="shared" si="0"/>
        <v>12446.590392821554</v>
      </c>
      <c r="E27" s="237">
        <f t="shared" si="1"/>
        <v>11699.79496925226</v>
      </c>
      <c r="F27" s="237">
        <f t="shared" si="2"/>
        <v>746.79542356929323</v>
      </c>
      <c r="G27" s="111">
        <f t="shared" si="3"/>
        <v>367326.76285464398</v>
      </c>
      <c r="H27" s="111">
        <f t="shared" si="4"/>
        <v>60893.698837840173</v>
      </c>
      <c r="I27" s="111">
        <f t="shared" si="5"/>
        <v>428220.46169248415</v>
      </c>
      <c r="J27" s="72">
        <f t="shared" si="6"/>
        <v>155207</v>
      </c>
    </row>
    <row r="28" spans="1:10" x14ac:dyDescent="0.35">
      <c r="A28" s="50">
        <f>IF((B28&gt;(Inputs!$B$7+Inputs!$B$8)),0,IF((B28&lt;Inputs!$B$7),0,((B28-Inputs!$B$7))))</f>
        <v>10</v>
      </c>
      <c r="B28" s="50">
        <f t="shared" si="7"/>
        <v>2037</v>
      </c>
      <c r="C28" s="97">
        <f>_xlfn.XLOOKUP(B28,TrafficData!$G$8:$G$48,TrafficData!$H$8:$H$48)</f>
        <v>11902.052063135608</v>
      </c>
      <c r="D28" s="237">
        <f t="shared" si="0"/>
        <v>12695.522200677982</v>
      </c>
      <c r="E28" s="237">
        <f t="shared" si="1"/>
        <v>11933.790868637303</v>
      </c>
      <c r="F28" s="237">
        <f t="shared" si="2"/>
        <v>761.73133204067892</v>
      </c>
      <c r="G28" s="111">
        <f t="shared" si="3"/>
        <v>374673.29811173677</v>
      </c>
      <c r="H28" s="111">
        <f t="shared" si="4"/>
        <v>62111.572814596962</v>
      </c>
      <c r="I28" s="111">
        <f t="shared" si="5"/>
        <v>436784.87092633371</v>
      </c>
      <c r="J28" s="72">
        <f t="shared" si="6"/>
        <v>147954</v>
      </c>
    </row>
    <row r="29" spans="1:10" x14ac:dyDescent="0.35">
      <c r="A29" s="50">
        <f>IF((B29&gt;(Inputs!$B$7+Inputs!$B$8)),0,IF((B29&lt;Inputs!$B$7),0,((B29-Inputs!$B$7))))</f>
        <v>11</v>
      </c>
      <c r="B29" s="50">
        <f t="shared" si="7"/>
        <v>2038</v>
      </c>
      <c r="C29" s="97">
        <f>_xlfn.XLOOKUP(B29,TrafficData!$G$8:$G$48,TrafficData!$H$8:$H$48)</f>
        <v>12140.09310439832</v>
      </c>
      <c r="D29" s="237">
        <f t="shared" si="0"/>
        <v>12949.432644691542</v>
      </c>
      <c r="E29" s="237">
        <f t="shared" si="1"/>
        <v>12172.46668601005</v>
      </c>
      <c r="F29" s="237">
        <f t="shared" si="2"/>
        <v>776.96595868149245</v>
      </c>
      <c r="G29" s="111">
        <f t="shared" si="3"/>
        <v>382166.76407397154</v>
      </c>
      <c r="H29" s="111">
        <f t="shared" si="4"/>
        <v>63353.804270888897</v>
      </c>
      <c r="I29" s="111">
        <f t="shared" si="5"/>
        <v>445520.56834486045</v>
      </c>
      <c r="J29" s="72">
        <f t="shared" si="6"/>
        <v>141040</v>
      </c>
    </row>
    <row r="30" spans="1:10" x14ac:dyDescent="0.35">
      <c r="A30" s="50">
        <f>IF((B30&gt;(Inputs!$B$7+Inputs!$B$8)),0,IF((B30&lt;Inputs!$B$7),0,((B30-Inputs!$B$7))))</f>
        <v>12</v>
      </c>
      <c r="B30" s="50">
        <f t="shared" si="7"/>
        <v>2039</v>
      </c>
      <c r="C30" s="97">
        <f>_xlfn.XLOOKUP(B30,TrafficData!$G$8:$G$48,TrafficData!$H$8:$H$48)</f>
        <v>12382.894966486287</v>
      </c>
      <c r="D30" s="237">
        <f t="shared" si="0"/>
        <v>13208.421297585373</v>
      </c>
      <c r="E30" s="237">
        <f t="shared" si="1"/>
        <v>12415.91601973025</v>
      </c>
      <c r="F30" s="237">
        <f t="shared" si="2"/>
        <v>792.50527785512236</v>
      </c>
      <c r="G30" s="111">
        <f t="shared" si="3"/>
        <v>389810.09935545095</v>
      </c>
      <c r="H30" s="111">
        <f t="shared" si="4"/>
        <v>64620.880356306683</v>
      </c>
      <c r="I30" s="111">
        <f t="shared" si="5"/>
        <v>454430.97971175762</v>
      </c>
      <c r="J30" s="72">
        <f t="shared" si="6"/>
        <v>134450</v>
      </c>
    </row>
    <row r="31" spans="1:10" x14ac:dyDescent="0.35">
      <c r="A31" s="50">
        <f>IF((B31&gt;(Inputs!$B$7+Inputs!$B$8)),0,IF((B31&lt;Inputs!$B$7),0,((B31-Inputs!$B$7))))</f>
        <v>13</v>
      </c>
      <c r="B31" s="50">
        <f t="shared" si="7"/>
        <v>2040</v>
      </c>
      <c r="C31" s="97">
        <f>_xlfn.XLOOKUP(B31,TrafficData!$G$8:$G$48,TrafficData!$H$8:$H$48)</f>
        <v>12630.552865816013</v>
      </c>
      <c r="D31" s="237">
        <f t="shared" si="0"/>
        <v>13472.589723537081</v>
      </c>
      <c r="E31" s="237">
        <f t="shared" si="1"/>
        <v>12664.234340124856</v>
      </c>
      <c r="F31" s="237">
        <f t="shared" si="2"/>
        <v>808.3553834122248</v>
      </c>
      <c r="G31" s="111">
        <f t="shared" si="3"/>
        <v>397606.30134255998</v>
      </c>
      <c r="H31" s="111">
        <f t="shared" si="4"/>
        <v>65913.297963432822</v>
      </c>
      <c r="I31" s="111">
        <f t="shared" si="5"/>
        <v>463519.59930599283</v>
      </c>
      <c r="J31" s="72">
        <f t="shared" si="6"/>
        <v>128167</v>
      </c>
    </row>
    <row r="32" spans="1:10" x14ac:dyDescent="0.35">
      <c r="A32" s="50">
        <f>IF((B32&gt;(Inputs!$B$7+Inputs!$B$8)),0,IF((B32&lt;Inputs!$B$7),0,((B32-Inputs!$B$7))))</f>
        <v>14</v>
      </c>
      <c r="B32" s="50">
        <f t="shared" si="7"/>
        <v>2041</v>
      </c>
      <c r="C32" s="97">
        <f>_xlfn.XLOOKUP(B32,TrafficData!$G$8:$G$48,TrafficData!$H$8:$H$48)</f>
        <v>12883.163923132333</v>
      </c>
      <c r="D32" s="237">
        <f t="shared" si="0"/>
        <v>13742.041518007823</v>
      </c>
      <c r="E32" s="237">
        <f t="shared" si="1"/>
        <v>12917.519026927353</v>
      </c>
      <c r="F32" s="237">
        <f t="shared" si="2"/>
        <v>824.52249108046942</v>
      </c>
      <c r="G32" s="111">
        <f t="shared" si="3"/>
        <v>405558.42736941122</v>
      </c>
      <c r="H32" s="111">
        <f t="shared" si="4"/>
        <v>67231.563922701476</v>
      </c>
      <c r="I32" s="111">
        <f>IF(A32&gt;0,SUM(H32,G32),0)</f>
        <v>472789.99129211268</v>
      </c>
      <c r="J32" s="72">
        <f t="shared" si="6"/>
        <v>122178</v>
      </c>
    </row>
    <row r="33" spans="1:10" x14ac:dyDescent="0.35">
      <c r="A33" s="50">
        <f>IF((B33&gt;(Inputs!$B$7+Inputs!$B$8)),0,IF((B33&lt;Inputs!$B$7),0,((B33-Inputs!$B$7))))</f>
        <v>15</v>
      </c>
      <c r="B33" s="50">
        <f t="shared" si="7"/>
        <v>2042</v>
      </c>
      <c r="C33" s="97">
        <f>_xlfn.XLOOKUP(B33,TrafficData!$G$8:$G$48,TrafficData!$H$8:$H$48)</f>
        <v>13140.827201594981</v>
      </c>
      <c r="D33" s="237">
        <f t="shared" si="0"/>
        <v>14016.882348367979</v>
      </c>
      <c r="E33" s="237">
        <f t="shared" si="1"/>
        <v>13175.8694074659</v>
      </c>
      <c r="F33" s="237">
        <f t="shared" si="2"/>
        <v>841.01294090207875</v>
      </c>
      <c r="G33" s="111">
        <f t="shared" si="3"/>
        <v>413669.59591679939</v>
      </c>
      <c r="H33" s="111">
        <f t="shared" si="4"/>
        <v>68576.195201155511</v>
      </c>
      <c r="I33" s="111">
        <f t="shared" si="5"/>
        <v>482245.79111795488</v>
      </c>
      <c r="J33" s="72">
        <f t="shared" si="6"/>
        <v>116469</v>
      </c>
    </row>
    <row r="34" spans="1:10" x14ac:dyDescent="0.35">
      <c r="A34" s="50">
        <f>IF((B34&gt;(Inputs!$B$7+Inputs!$B$8)),0,IF((B34&lt;Inputs!$B$7),0,((B34-Inputs!$B$7))))</f>
        <v>16</v>
      </c>
      <c r="B34" s="50">
        <f t="shared" si="7"/>
        <v>2043</v>
      </c>
      <c r="C34" s="97">
        <f>_xlfn.XLOOKUP(B34,TrafficData!$G$8:$G$48,TrafficData!$H$8:$H$48)</f>
        <v>13403.64374562688</v>
      </c>
      <c r="D34" s="237">
        <f t="shared" si="0"/>
        <v>14297.219995335337</v>
      </c>
      <c r="E34" s="237">
        <f t="shared" si="1"/>
        <v>13439.386795615217</v>
      </c>
      <c r="F34" s="237">
        <f t="shared" si="2"/>
        <v>857.83319972012021</v>
      </c>
      <c r="G34" s="111">
        <f t="shared" si="3"/>
        <v>421942.98783513537</v>
      </c>
      <c r="H34" s="111">
        <f t="shared" si="4"/>
        <v>69947.719105178607</v>
      </c>
      <c r="I34" s="111">
        <f t="shared" si="5"/>
        <v>491890.70694031398</v>
      </c>
      <c r="J34" s="72">
        <f t="shared" si="6"/>
        <v>111026</v>
      </c>
    </row>
    <row r="35" spans="1:10" x14ac:dyDescent="0.35">
      <c r="A35" s="50">
        <f>IF((B35&gt;(Inputs!$B$7+Inputs!$B$8)),0,IF((B35&lt;Inputs!$B$7),0,((B35-Inputs!$B$7))))</f>
        <v>17</v>
      </c>
      <c r="B35" s="50">
        <f t="shared" si="7"/>
        <v>2044</v>
      </c>
      <c r="C35" s="97">
        <f>_xlfn.XLOOKUP(B35,TrafficData!$G$8:$G$48,TrafficData!$H$8:$H$48)</f>
        <v>13671.716620539417</v>
      </c>
      <c r="D35" s="237">
        <f t="shared" si="0"/>
        <v>14583.164395242045</v>
      </c>
      <c r="E35" s="237">
        <f t="shared" si="1"/>
        <v>13708.174531527522</v>
      </c>
      <c r="F35" s="237">
        <f t="shared" si="2"/>
        <v>874.9898637145227</v>
      </c>
      <c r="G35" s="111">
        <f t="shared" si="3"/>
        <v>430381.8475918381</v>
      </c>
      <c r="H35" s="111">
        <f t="shared" si="4"/>
        <v>71346.673487282183</v>
      </c>
      <c r="I35" s="111">
        <f t="shared" si="5"/>
        <v>501728.52107912028</v>
      </c>
      <c r="J35" s="72">
        <f t="shared" si="6"/>
        <v>105838</v>
      </c>
    </row>
    <row r="36" spans="1:10" x14ac:dyDescent="0.35">
      <c r="A36" s="50">
        <f>IF((B36&gt;(Inputs!$B$7+Inputs!$B$8)),0,IF((B36&lt;Inputs!$B$7),0,((B36-Inputs!$B$7))))</f>
        <v>18</v>
      </c>
      <c r="B36" s="50">
        <f t="shared" si="7"/>
        <v>2045</v>
      </c>
      <c r="C36" s="97">
        <f>_xlfn.XLOOKUP(B36,TrafficData!$G$8:$G$48,TrafficData!$H$8:$H$48)</f>
        <v>13945.150952950205</v>
      </c>
      <c r="D36" s="237">
        <f t="shared" si="0"/>
        <v>14874.827683146885</v>
      </c>
      <c r="E36" s="237">
        <f t="shared" si="1"/>
        <v>13982.33802215807</v>
      </c>
      <c r="F36" s="237">
        <f t="shared" si="2"/>
        <v>892.48966098881306</v>
      </c>
      <c r="G36" s="111">
        <f t="shared" si="3"/>
        <v>438989.4845436748</v>
      </c>
      <c r="H36" s="111">
        <f t="shared" si="4"/>
        <v>72773.60695702782</v>
      </c>
      <c r="I36" s="111">
        <f t="shared" si="5"/>
        <v>511763.09150070261</v>
      </c>
      <c r="J36" s="72">
        <f t="shared" si="6"/>
        <v>100892</v>
      </c>
    </row>
    <row r="37" spans="1:10" x14ac:dyDescent="0.35">
      <c r="A37" s="50">
        <f>IF((B37&gt;(Inputs!$B$7+Inputs!$B$8)),0,IF((B37&lt;Inputs!$B$7),0,((B37-Inputs!$B$7))))</f>
        <v>19</v>
      </c>
      <c r="B37" s="50">
        <f t="shared" si="7"/>
        <v>2046</v>
      </c>
      <c r="C37" s="97">
        <f>_xlfn.XLOOKUP(B37,TrafficData!$G$8:$G$48,TrafficData!$H$8:$H$48)</f>
        <v>14224.053972009209</v>
      </c>
      <c r="D37" s="237">
        <f t="shared" si="0"/>
        <v>15172.324236809824</v>
      </c>
      <c r="E37" s="237">
        <f t="shared" si="1"/>
        <v>14261.984782601234</v>
      </c>
      <c r="F37" s="237">
        <f t="shared" si="2"/>
        <v>910.33945420858936</v>
      </c>
      <c r="G37" s="111">
        <f t="shared" si="3"/>
        <v>447769.27423454833</v>
      </c>
      <c r="H37" s="111">
        <f t="shared" si="4"/>
        <v>74229.079096168382</v>
      </c>
      <c r="I37" s="111">
        <f t="shared" si="5"/>
        <v>521998.35333071672</v>
      </c>
      <c r="J37" s="72">
        <f t="shared" si="6"/>
        <v>96178</v>
      </c>
    </row>
    <row r="38" spans="1:10" x14ac:dyDescent="0.35">
      <c r="A38" s="50">
        <f>IF((B38&gt;(Inputs!$B$7+Inputs!$B$8)),0,IF((B38&lt;Inputs!$B$7),0,((B38-Inputs!$B$7))))</f>
        <v>20</v>
      </c>
      <c r="B38" s="50">
        <f t="shared" si="7"/>
        <v>2047</v>
      </c>
      <c r="C38" s="97">
        <f>_xlfn.XLOOKUP(B38,TrafficData!$G$8:$G$48,TrafficData!$H$8:$H$48)</f>
        <v>14508.535051449393</v>
      </c>
      <c r="D38" s="237">
        <f t="shared" si="0"/>
        <v>15475.770721546021</v>
      </c>
      <c r="E38" s="237">
        <f t="shared" si="1"/>
        <v>14547.22447825326</v>
      </c>
      <c r="F38" s="237">
        <f t="shared" si="2"/>
        <v>928.54624329276123</v>
      </c>
      <c r="G38" s="111">
        <f t="shared" si="3"/>
        <v>456724.65971923934</v>
      </c>
      <c r="H38" s="111">
        <f t="shared" si="4"/>
        <v>75713.66067809175</v>
      </c>
      <c r="I38" s="111">
        <f t="shared" si="5"/>
        <v>532438.32039733115</v>
      </c>
      <c r="J38" s="72">
        <f t="shared" si="6"/>
        <v>91683</v>
      </c>
    </row>
    <row r="39" spans="1:10" x14ac:dyDescent="0.35">
      <c r="A39" s="50"/>
      <c r="B39" s="50"/>
      <c r="C39" s="50"/>
      <c r="D39" s="50"/>
      <c r="E39" s="50"/>
      <c r="F39" s="50"/>
      <c r="G39" s="50"/>
      <c r="H39" s="51" t="s">
        <v>176</v>
      </c>
      <c r="I39" s="95">
        <f>SUM(I19:I38)</f>
        <v>8880252.300207926</v>
      </c>
      <c r="J39" s="95">
        <f>SUM(J19:J38)</f>
        <v>3000378</v>
      </c>
    </row>
  </sheetData>
  <sheetProtection algorithmName="SHA-512" hashValue="ObBcKJJzlK44BkTKha8GBlviaXmrGl+jOeNHTJzdkx2htHUwP4tIMy7g4eHiDcQVF2KfvXQLI6wTEen1VZuTZA==" saltValue="bQ5HvzYvCKun+VyHsCkHCg==" spinCount="100000" sheet="1" objects="1" scenarios="1"/>
  <pageMargins left="0.7" right="0.7" top="0.75" bottom="0.75" header="0.3" footer="0.3"/>
  <pageSetup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6023E-81B5-4638-B4F3-50CE52A8E892}">
  <dimension ref="A1:AC40"/>
  <sheetViews>
    <sheetView topLeftCell="B1" zoomScale="85" zoomScaleNormal="85" workbookViewId="0">
      <selection activeCell="E12" sqref="E12"/>
    </sheetView>
  </sheetViews>
  <sheetFormatPr defaultRowHeight="14.5" x14ac:dyDescent="0.35"/>
  <cols>
    <col min="3" max="3" width="14.7265625" customWidth="1"/>
    <col min="4" max="4" width="15.54296875" bestFit="1" customWidth="1"/>
    <col min="5" max="5" width="13.26953125" bestFit="1" customWidth="1"/>
    <col min="7" max="7" width="11.7265625" customWidth="1"/>
  </cols>
  <sheetData>
    <row r="1" spans="1:29" x14ac:dyDescent="0.35">
      <c r="A1" s="1"/>
      <c r="B1" s="13" t="s">
        <v>517</v>
      </c>
      <c r="C1" s="1"/>
      <c r="D1" s="1"/>
      <c r="E1" s="1"/>
      <c r="F1" s="1"/>
      <c r="G1" s="1"/>
      <c r="H1" s="1"/>
      <c r="I1" s="1"/>
      <c r="J1" s="1"/>
      <c r="K1" s="1"/>
      <c r="L1" s="1"/>
      <c r="M1" s="1"/>
      <c r="N1" s="1"/>
      <c r="O1" s="1"/>
      <c r="P1" s="1"/>
      <c r="Q1" s="1"/>
      <c r="R1" s="1"/>
      <c r="S1" s="1"/>
      <c r="T1" s="1"/>
      <c r="U1" s="1"/>
      <c r="V1" s="1"/>
      <c r="W1" s="1"/>
      <c r="X1" s="1"/>
      <c r="Y1" s="1"/>
      <c r="Z1" s="1"/>
      <c r="AA1" s="1"/>
      <c r="AB1" s="1"/>
      <c r="AC1" s="1"/>
    </row>
    <row r="2" spans="1:29" x14ac:dyDescent="0.35">
      <c r="A2" s="1"/>
      <c r="B2" s="1" t="s">
        <v>518</v>
      </c>
      <c r="C2" s="1"/>
      <c r="D2" s="1"/>
      <c r="E2" s="1"/>
      <c r="F2" s="1"/>
      <c r="G2" s="1"/>
      <c r="H2" s="1"/>
      <c r="I2" s="1"/>
      <c r="J2" s="1"/>
      <c r="K2" s="1"/>
      <c r="L2" s="1"/>
      <c r="M2" s="1"/>
      <c r="N2" s="1"/>
      <c r="O2" s="1"/>
      <c r="P2" s="1"/>
      <c r="Q2" s="1"/>
      <c r="R2" s="1"/>
      <c r="S2" s="1"/>
      <c r="T2" s="1"/>
      <c r="U2" s="1"/>
      <c r="V2" s="1"/>
      <c r="W2" s="1"/>
      <c r="X2" s="1"/>
      <c r="Y2" s="1"/>
      <c r="Z2" s="1"/>
      <c r="AA2" s="1"/>
      <c r="AB2" s="1"/>
      <c r="AC2" s="1"/>
    </row>
    <row r="3" spans="1:29" x14ac:dyDescent="0.35">
      <c r="A3" s="1"/>
      <c r="B3" s="1"/>
      <c r="C3" s="1"/>
      <c r="D3" s="1"/>
      <c r="E3" s="1"/>
      <c r="F3" s="1"/>
      <c r="G3" s="1"/>
      <c r="H3" s="1"/>
      <c r="I3" s="1"/>
      <c r="J3" s="1"/>
      <c r="K3" s="1"/>
      <c r="L3" s="1"/>
      <c r="M3" s="1"/>
      <c r="N3" s="1"/>
      <c r="O3" s="1"/>
      <c r="P3" s="1"/>
      <c r="Q3" s="1"/>
      <c r="R3" s="1"/>
      <c r="S3" s="1"/>
      <c r="T3" s="1"/>
      <c r="U3" s="1"/>
      <c r="V3" s="1"/>
      <c r="W3" s="1"/>
      <c r="X3" s="1"/>
      <c r="Y3" s="1"/>
      <c r="Z3" s="1"/>
      <c r="AA3" s="1"/>
      <c r="AB3" s="1"/>
      <c r="AC3" s="1"/>
    </row>
    <row r="4" spans="1:29" x14ac:dyDescent="0.35">
      <c r="A4" s="12"/>
      <c r="B4" s="1"/>
      <c r="C4" s="1"/>
      <c r="D4" s="1"/>
      <c r="E4" s="1"/>
      <c r="F4" s="2">
        <v>0.16</v>
      </c>
      <c r="G4" s="1" t="s">
        <v>519</v>
      </c>
      <c r="I4" s="12"/>
      <c r="J4" s="1"/>
      <c r="K4" s="1"/>
      <c r="L4" s="1"/>
      <c r="M4" s="1"/>
      <c r="N4" s="1"/>
      <c r="O4" s="1"/>
      <c r="P4" s="1"/>
      <c r="Q4" s="1"/>
      <c r="R4" s="1"/>
      <c r="S4" s="1"/>
      <c r="T4" s="1"/>
      <c r="U4" s="1"/>
      <c r="V4" s="1"/>
      <c r="W4" s="1"/>
      <c r="X4" s="1"/>
      <c r="Y4" s="1"/>
      <c r="Z4" s="1"/>
      <c r="AA4" s="1"/>
      <c r="AB4" s="1"/>
      <c r="AC4" s="1"/>
    </row>
    <row r="5" spans="1:29" x14ac:dyDescent="0.35">
      <c r="A5" s="12"/>
      <c r="B5" s="1"/>
      <c r="C5" s="1"/>
      <c r="D5" s="1"/>
      <c r="E5" s="202">
        <v>0.6</v>
      </c>
      <c r="F5" s="349">
        <v>0.08</v>
      </c>
      <c r="G5" s="1" t="s">
        <v>520</v>
      </c>
      <c r="H5" s="12"/>
      <c r="I5" s="12"/>
      <c r="J5" s="1"/>
      <c r="K5" s="1"/>
      <c r="L5" s="1"/>
      <c r="M5" s="1"/>
      <c r="N5" s="1"/>
      <c r="O5" s="1"/>
      <c r="P5" s="1"/>
      <c r="Q5" s="1"/>
      <c r="R5" s="1"/>
      <c r="S5" s="1"/>
      <c r="T5" s="1"/>
      <c r="U5" s="1"/>
      <c r="V5" s="36"/>
      <c r="X5" s="1"/>
      <c r="Y5" s="1"/>
      <c r="Z5" s="1"/>
      <c r="AA5" s="1"/>
      <c r="AB5" s="1"/>
      <c r="AC5" s="1"/>
    </row>
    <row r="6" spans="1:29" ht="37.5" x14ac:dyDescent="0.35">
      <c r="A6" s="12"/>
      <c r="B6" s="1"/>
      <c r="C6" s="198" t="s">
        <v>521</v>
      </c>
      <c r="D6" s="199" t="s">
        <v>522</v>
      </c>
      <c r="E6" s="200" t="s">
        <v>523</v>
      </c>
      <c r="F6" s="198" t="s">
        <v>524</v>
      </c>
      <c r="G6" s="198" t="s">
        <v>525</v>
      </c>
      <c r="H6" s="201" t="s">
        <v>526</v>
      </c>
      <c r="I6" s="12"/>
      <c r="J6" s="1"/>
      <c r="K6" s="1"/>
      <c r="L6" s="1"/>
      <c r="M6" s="1"/>
      <c r="N6" s="1"/>
      <c r="O6" s="1"/>
      <c r="P6" s="1"/>
      <c r="Q6" s="1"/>
      <c r="R6" s="1"/>
      <c r="S6" s="1"/>
      <c r="T6" s="1"/>
      <c r="U6" s="1"/>
      <c r="V6" s="1"/>
      <c r="W6" s="1"/>
      <c r="X6" s="1"/>
      <c r="Y6" s="1"/>
      <c r="Z6" s="1"/>
      <c r="AA6" s="1"/>
      <c r="AB6" s="1"/>
      <c r="AC6" s="1"/>
    </row>
    <row r="7" spans="1:29" x14ac:dyDescent="0.35">
      <c r="A7" s="12"/>
      <c r="B7" s="17" t="s">
        <v>411</v>
      </c>
      <c r="C7" s="1">
        <v>123</v>
      </c>
      <c r="D7" s="187">
        <f>12535*(Deflator!$C$90/Deflator!$C$86)</f>
        <v>13658.78747099768</v>
      </c>
      <c r="E7" s="1">
        <f>C7*$E$5</f>
        <v>73.8</v>
      </c>
      <c r="F7" s="187">
        <f>D7*$F$5</f>
        <v>1092.7029976798144</v>
      </c>
      <c r="G7" s="187">
        <f>F7*E7</f>
        <v>80641.481228770295</v>
      </c>
      <c r="H7" s="188" t="s">
        <v>527</v>
      </c>
      <c r="I7" s="12"/>
      <c r="J7" s="1"/>
      <c r="K7" s="1"/>
      <c r="L7" s="1"/>
      <c r="M7" s="1"/>
      <c r="N7" s="1"/>
      <c r="O7" s="1"/>
      <c r="P7" s="1"/>
      <c r="Q7" s="1"/>
      <c r="R7" s="10"/>
      <c r="S7" s="1"/>
      <c r="T7" s="1"/>
      <c r="U7" s="1"/>
      <c r="V7" s="1"/>
      <c r="W7" s="1"/>
      <c r="X7" s="1"/>
      <c r="Y7" s="1"/>
      <c r="Z7" s="1"/>
      <c r="AA7" s="1"/>
      <c r="AB7" s="1"/>
      <c r="AC7" s="1"/>
    </row>
    <row r="8" spans="1:29" x14ac:dyDescent="0.35">
      <c r="A8" s="12"/>
      <c r="B8" s="17" t="s">
        <v>528</v>
      </c>
      <c r="C8" s="1">
        <v>99</v>
      </c>
      <c r="D8" s="187">
        <f>20565*(Deflator!$C$90/Deflator!$C$86)</f>
        <v>22408.692807424595</v>
      </c>
      <c r="E8" s="1">
        <f>C8*$E$5</f>
        <v>59.4</v>
      </c>
      <c r="F8" s="187">
        <f>D8*$F$5</f>
        <v>1792.6954245939676</v>
      </c>
      <c r="G8" s="187">
        <f t="shared" ref="G8" si="0">F8*E8</f>
        <v>106486.10822088167</v>
      </c>
      <c r="H8" s="189"/>
      <c r="I8" s="12"/>
      <c r="J8" s="1"/>
      <c r="K8" s="1"/>
      <c r="L8" s="1"/>
      <c r="M8" s="1"/>
      <c r="N8" s="1"/>
      <c r="O8" s="1"/>
      <c r="P8" s="1"/>
      <c r="Q8" s="1"/>
      <c r="R8" s="10"/>
      <c r="S8" s="1"/>
      <c r="T8" s="1"/>
      <c r="U8" s="1"/>
      <c r="V8" s="1"/>
      <c r="W8" s="1"/>
      <c r="X8" s="1"/>
      <c r="Y8" s="1"/>
      <c r="Z8" s="1"/>
      <c r="AA8" s="1"/>
      <c r="AB8" s="1"/>
      <c r="AC8" s="1"/>
    </row>
    <row r="9" spans="1:29" x14ac:dyDescent="0.35">
      <c r="A9" s="12"/>
      <c r="B9" s="17" t="s">
        <v>529</v>
      </c>
      <c r="C9" s="1">
        <v>277</v>
      </c>
      <c r="D9" s="187">
        <f>121352*(Deflator!$C$90/Deflator!$C$86)</f>
        <v>132231.44612529004</v>
      </c>
      <c r="E9" s="1">
        <f>C9*$E$5</f>
        <v>166.2</v>
      </c>
      <c r="F9" s="187">
        <f>D9*$F$5</f>
        <v>10578.515690023203</v>
      </c>
      <c r="G9" s="187">
        <f t="shared" ref="G9" si="1">F9*E9</f>
        <v>1758149.3076818562</v>
      </c>
      <c r="H9" s="189"/>
      <c r="I9" s="12"/>
      <c r="J9" s="1"/>
      <c r="K9" s="1"/>
      <c r="L9" s="1"/>
      <c r="M9" s="1"/>
      <c r="N9" s="1"/>
      <c r="O9" s="1"/>
      <c r="P9" s="1"/>
      <c r="Q9" s="1"/>
      <c r="R9" s="10"/>
      <c r="S9" s="1"/>
      <c r="T9" s="1"/>
      <c r="U9" s="1"/>
      <c r="V9" s="1"/>
      <c r="W9" s="1"/>
      <c r="X9" s="1"/>
      <c r="Y9" s="1"/>
      <c r="Z9" s="1"/>
      <c r="AA9" s="1"/>
      <c r="AB9" s="1"/>
      <c r="AC9" s="1"/>
    </row>
    <row r="10" spans="1:29" x14ac:dyDescent="0.35">
      <c r="A10" s="12"/>
      <c r="B10" s="17" t="s">
        <v>530</v>
      </c>
      <c r="C10" s="1">
        <v>215</v>
      </c>
      <c r="D10" s="187">
        <f>50126*(Deflator!$C$90/Deflator!$C$86)</f>
        <v>54619.894756380512</v>
      </c>
      <c r="E10" s="1">
        <f>C10*$E$5</f>
        <v>129</v>
      </c>
      <c r="F10" s="187">
        <f>D10*$F$5</f>
        <v>4369.5915805104414</v>
      </c>
      <c r="G10" s="187">
        <f t="shared" ref="G10:G11" si="2">F10*E10</f>
        <v>563677.31388584699</v>
      </c>
      <c r="H10" s="189"/>
      <c r="I10" s="12"/>
      <c r="J10" s="1"/>
      <c r="K10" s="1"/>
      <c r="L10" s="1"/>
      <c r="M10" s="1"/>
      <c r="N10" s="1"/>
      <c r="O10" s="1"/>
      <c r="P10" s="1"/>
      <c r="Q10" s="1"/>
      <c r="R10" s="10"/>
      <c r="S10" s="1"/>
      <c r="T10" s="1"/>
      <c r="U10" s="1"/>
      <c r="V10" s="1"/>
      <c r="W10" s="1"/>
      <c r="X10" s="1"/>
      <c r="Y10" s="1"/>
      <c r="Z10" s="1"/>
      <c r="AA10" s="1"/>
      <c r="AB10" s="1"/>
      <c r="AC10" s="1"/>
    </row>
    <row r="11" spans="1:29" x14ac:dyDescent="0.35">
      <c r="A11" s="12"/>
      <c r="B11" s="17" t="s">
        <v>531</v>
      </c>
      <c r="C11" s="1">
        <v>340</v>
      </c>
      <c r="D11" s="187">
        <f>18874*(Deflator!$C$90/Deflator!$C$86)</f>
        <v>20566.091322505799</v>
      </c>
      <c r="E11" s="1">
        <f>C11*$E$5</f>
        <v>204</v>
      </c>
      <c r="F11" s="187">
        <f>D11*$F$5</f>
        <v>1645.2873058004641</v>
      </c>
      <c r="G11" s="187">
        <f t="shared" si="2"/>
        <v>335638.6103832947</v>
      </c>
      <c r="H11" s="189"/>
      <c r="I11" s="12"/>
      <c r="J11" s="1"/>
      <c r="K11" s="1"/>
      <c r="L11" s="1"/>
      <c r="M11" s="1"/>
      <c r="N11" s="1"/>
      <c r="O11" s="1"/>
      <c r="P11" s="1"/>
      <c r="Q11" s="1"/>
      <c r="R11" s="10"/>
      <c r="S11" s="1"/>
      <c r="T11" s="1"/>
      <c r="U11" s="1"/>
      <c r="V11" s="1"/>
      <c r="W11" s="1"/>
      <c r="X11" s="1"/>
      <c r="Y11" s="1"/>
      <c r="Z11" s="1"/>
      <c r="AA11" s="1"/>
      <c r="AB11" s="1"/>
      <c r="AC11" s="1"/>
    </row>
    <row r="12" spans="1:29" x14ac:dyDescent="0.35">
      <c r="A12" s="12"/>
      <c r="C12" s="1"/>
      <c r="D12" s="187"/>
      <c r="E12" s="1"/>
      <c r="F12" s="187"/>
      <c r="G12" s="187"/>
      <c r="H12" s="189"/>
      <c r="I12" s="12"/>
      <c r="J12" s="1"/>
      <c r="K12" s="1"/>
      <c r="L12" s="1"/>
      <c r="M12" s="1"/>
      <c r="N12" s="1"/>
      <c r="O12" s="1"/>
      <c r="P12" s="1"/>
      <c r="Q12" s="1"/>
      <c r="R12" s="10"/>
      <c r="S12" s="1"/>
      <c r="T12" s="1"/>
      <c r="U12" s="1"/>
      <c r="V12" s="1"/>
      <c r="W12" s="1"/>
      <c r="X12" s="1"/>
      <c r="Y12" s="1"/>
      <c r="Z12" s="1"/>
      <c r="AA12" s="1"/>
      <c r="AB12" s="1"/>
      <c r="AC12" s="1"/>
    </row>
    <row r="13" spans="1:29" x14ac:dyDescent="0.35">
      <c r="A13" s="12"/>
      <c r="B13" s="1"/>
      <c r="C13" s="1"/>
      <c r="D13" s="187"/>
      <c r="E13" s="1"/>
      <c r="F13" s="187"/>
      <c r="G13" s="187"/>
      <c r="H13" s="1"/>
      <c r="I13" s="1"/>
      <c r="J13" s="1"/>
      <c r="K13" s="1"/>
      <c r="L13" s="1"/>
      <c r="M13" s="1"/>
      <c r="N13" s="1"/>
      <c r="O13" s="1"/>
      <c r="P13" s="1"/>
      <c r="Q13" s="1"/>
      <c r="R13" s="1"/>
      <c r="S13" s="1"/>
      <c r="T13" s="1"/>
      <c r="U13" s="1"/>
      <c r="V13" s="1"/>
      <c r="W13" s="1"/>
      <c r="X13" s="1"/>
      <c r="Y13" s="1"/>
      <c r="Z13" s="1"/>
      <c r="AA13" s="1"/>
      <c r="AB13" s="1"/>
      <c r="AC13" s="1"/>
    </row>
    <row r="14" spans="1:29" x14ac:dyDescent="0.35">
      <c r="A14" s="1"/>
      <c r="B14" s="190" t="s">
        <v>367</v>
      </c>
      <c r="C14" s="202">
        <f>Inputs!B16</f>
        <v>0.02</v>
      </c>
      <c r="D14" s="1"/>
      <c r="E14" s="1"/>
      <c r="F14" s="1"/>
      <c r="G14" s="1"/>
      <c r="H14" s="1"/>
      <c r="I14" s="1"/>
      <c r="J14" s="1"/>
      <c r="K14" s="1"/>
      <c r="L14" s="1"/>
      <c r="M14" s="1"/>
      <c r="N14" s="1"/>
      <c r="O14" s="1"/>
      <c r="P14" s="1"/>
      <c r="Q14" s="1"/>
      <c r="R14" s="1"/>
      <c r="S14" s="1"/>
      <c r="T14" s="1"/>
      <c r="U14" s="1"/>
      <c r="V14" s="1"/>
      <c r="W14" s="1"/>
      <c r="X14" s="1"/>
      <c r="Y14" s="1"/>
      <c r="Z14" s="1"/>
      <c r="AA14" s="1"/>
      <c r="AB14" s="1"/>
      <c r="AC14" s="1"/>
    </row>
    <row r="15" spans="1:29" x14ac:dyDescent="0.3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row>
    <row r="16" spans="1:29" x14ac:dyDescent="0.3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row>
    <row r="17" spans="1:29" ht="26" x14ac:dyDescent="0.35">
      <c r="A17" s="191"/>
      <c r="B17" s="192" t="s">
        <v>145</v>
      </c>
      <c r="C17" s="193" t="s">
        <v>532</v>
      </c>
      <c r="D17" s="192" t="s">
        <v>533</v>
      </c>
      <c r="E17" s="192" t="s">
        <v>426</v>
      </c>
      <c r="F17" s="1"/>
      <c r="G17" s="1"/>
      <c r="H17" s="1"/>
      <c r="I17" s="1"/>
      <c r="J17" s="1"/>
      <c r="K17" s="1"/>
      <c r="L17" s="1"/>
      <c r="M17" s="1"/>
      <c r="N17" s="1"/>
      <c r="O17" s="1"/>
      <c r="P17" s="1"/>
      <c r="Q17" s="1"/>
      <c r="R17" s="1"/>
      <c r="S17" s="1"/>
      <c r="T17" s="1"/>
      <c r="U17" s="1"/>
      <c r="V17" s="1"/>
      <c r="W17" s="1"/>
      <c r="X17" s="1"/>
      <c r="Y17" s="1"/>
      <c r="Z17" s="1"/>
      <c r="AA17" s="1"/>
      <c r="AB17" s="1"/>
      <c r="AC17" s="1"/>
    </row>
    <row r="18" spans="1:29" x14ac:dyDescent="0.35">
      <c r="A18" s="191"/>
      <c r="B18" s="49">
        <f>Inputs!B11</f>
        <v>2028</v>
      </c>
      <c r="C18" s="194">
        <f>SUM(G7:G11)*((1+$C$14)^(B18-2017))</f>
        <v>3536893.6319734249</v>
      </c>
      <c r="D18" s="195">
        <f>C18</f>
        <v>3536893.6319734249</v>
      </c>
      <c r="E18" s="195">
        <f>D18/(1+Inputs!$B$3)^(B18-Inputs!$B$10)</f>
        <v>2202599.5963847046</v>
      </c>
      <c r="F18" s="1"/>
      <c r="G18" s="1"/>
      <c r="H18" s="24" t="s">
        <v>534</v>
      </c>
      <c r="I18" s="1"/>
      <c r="J18" s="1"/>
      <c r="K18" s="1"/>
      <c r="L18" s="1"/>
      <c r="M18" s="1"/>
      <c r="N18" s="1"/>
      <c r="O18" s="1"/>
      <c r="P18" s="1"/>
      <c r="Q18" s="1"/>
      <c r="R18" s="1"/>
      <c r="S18" s="1"/>
      <c r="T18" s="1"/>
      <c r="U18" s="1"/>
      <c r="V18" s="1"/>
      <c r="W18" s="1"/>
      <c r="X18" s="1"/>
      <c r="Y18" s="1"/>
      <c r="Z18" s="1"/>
      <c r="AA18" s="1"/>
      <c r="AB18" s="1"/>
      <c r="AC18" s="1"/>
    </row>
    <row r="19" spans="1:29" x14ac:dyDescent="0.35">
      <c r="A19" s="191"/>
      <c r="B19" s="49">
        <f>B18+1</f>
        <v>2029</v>
      </c>
      <c r="C19" s="194">
        <f>C18*(1+$C$14)</f>
        <v>3607631.5046128933</v>
      </c>
      <c r="D19" s="195">
        <f t="shared" ref="D19:D37" si="3">C19</f>
        <v>3607631.5046128933</v>
      </c>
      <c r="E19" s="195">
        <f>D19/(1+Inputs!$B$3)^(B19-Inputs!$B$10)</f>
        <v>2099674.3816003725</v>
      </c>
      <c r="F19" s="1"/>
      <c r="G19" s="1"/>
      <c r="H19" s="1"/>
      <c r="I19" s="1"/>
      <c r="J19" s="1"/>
      <c r="K19" s="1"/>
      <c r="L19" s="1"/>
      <c r="M19" s="1"/>
      <c r="N19" s="1"/>
      <c r="O19" s="1"/>
      <c r="P19" s="1"/>
      <c r="Q19" s="1"/>
      <c r="R19" s="1"/>
      <c r="S19" s="1"/>
      <c r="T19" s="1"/>
      <c r="U19" s="1"/>
      <c r="V19" s="1"/>
      <c r="W19" s="1"/>
      <c r="X19" s="1"/>
      <c r="Y19" s="1"/>
      <c r="Z19" s="1"/>
      <c r="AA19" s="1"/>
      <c r="AB19" s="1"/>
      <c r="AC19" s="1"/>
    </row>
    <row r="20" spans="1:29" x14ac:dyDescent="0.35">
      <c r="A20" s="191"/>
      <c r="B20" s="49">
        <f t="shared" ref="B20:B37" si="4">B19+1</f>
        <v>2030</v>
      </c>
      <c r="C20" s="194">
        <f t="shared" ref="C20:C37" si="5">C19*(1+$C$14)</f>
        <v>3679784.1347051514</v>
      </c>
      <c r="D20" s="195">
        <f t="shared" si="3"/>
        <v>3679784.1347051514</v>
      </c>
      <c r="E20" s="195">
        <f>D20/(1+Inputs!$B$3)^(B20-Inputs!$B$10)</f>
        <v>2001558.7562919436</v>
      </c>
      <c r="F20" s="1"/>
      <c r="G20" s="1"/>
      <c r="H20" s="1"/>
      <c r="I20" s="1"/>
      <c r="J20" s="1"/>
      <c r="K20" s="1"/>
      <c r="L20" s="1"/>
      <c r="M20" s="1"/>
      <c r="N20" s="1"/>
      <c r="O20" s="1"/>
      <c r="P20" s="1"/>
      <c r="Q20" s="1"/>
      <c r="R20" s="1"/>
      <c r="S20" s="1"/>
      <c r="T20" s="1"/>
      <c r="U20" s="1"/>
      <c r="V20" s="1"/>
      <c r="W20" s="1"/>
      <c r="X20" s="1"/>
      <c r="Y20" s="1"/>
      <c r="Z20" s="1"/>
      <c r="AA20" s="1"/>
      <c r="AB20" s="1"/>
      <c r="AC20" s="1"/>
    </row>
    <row r="21" spans="1:29" x14ac:dyDescent="0.35">
      <c r="A21" s="191"/>
      <c r="B21" s="49">
        <f t="shared" si="4"/>
        <v>2031</v>
      </c>
      <c r="C21" s="194">
        <f t="shared" si="5"/>
        <v>3753379.8173992545</v>
      </c>
      <c r="D21" s="195">
        <f t="shared" si="3"/>
        <v>3753379.8173992545</v>
      </c>
      <c r="E21" s="195">
        <f>D21/(1+Inputs!$B$3)^(B21-Inputs!$B$10)</f>
        <v>1908027.9732876474</v>
      </c>
      <c r="F21" s="1"/>
      <c r="G21" s="1"/>
      <c r="H21" s="1"/>
      <c r="I21" s="1"/>
      <c r="J21" s="1"/>
      <c r="K21" s="1"/>
      <c r="L21" s="1"/>
      <c r="M21" s="1"/>
      <c r="N21" s="1"/>
      <c r="O21" s="1"/>
      <c r="P21" s="1"/>
      <c r="Q21" s="1"/>
      <c r="R21" s="1"/>
      <c r="S21" s="1"/>
      <c r="T21" s="1"/>
      <c r="U21" s="1"/>
      <c r="V21" s="1"/>
      <c r="W21" s="1"/>
      <c r="X21" s="1"/>
      <c r="Y21" s="1"/>
      <c r="Z21" s="1"/>
      <c r="AA21" s="1"/>
      <c r="AB21" s="1"/>
      <c r="AC21" s="1"/>
    </row>
    <row r="22" spans="1:29" x14ac:dyDescent="0.35">
      <c r="A22" s="191"/>
      <c r="B22" s="49">
        <f t="shared" si="4"/>
        <v>2032</v>
      </c>
      <c r="C22" s="194">
        <f t="shared" si="5"/>
        <v>3828447.4137472399</v>
      </c>
      <c r="D22" s="195">
        <f t="shared" si="3"/>
        <v>3828447.4137472399</v>
      </c>
      <c r="E22" s="195">
        <f>D22/(1+Inputs!$B$3)^(B22-Inputs!$B$10)</f>
        <v>1818867.7876200001</v>
      </c>
      <c r="F22" s="1"/>
      <c r="G22" s="1"/>
      <c r="H22" s="1"/>
      <c r="I22" s="1"/>
      <c r="J22" s="1"/>
      <c r="K22" s="1"/>
      <c r="L22" s="1"/>
      <c r="M22" s="1"/>
      <c r="N22" s="1"/>
      <c r="O22" s="1"/>
      <c r="P22" s="1"/>
      <c r="Q22" s="1"/>
      <c r="R22" s="1"/>
      <c r="S22" s="1"/>
      <c r="T22" s="1"/>
      <c r="U22" s="1"/>
      <c r="V22" s="1"/>
      <c r="W22" s="1"/>
      <c r="X22" s="1"/>
      <c r="Y22" s="1"/>
      <c r="Z22" s="1"/>
      <c r="AA22" s="1"/>
      <c r="AB22" s="1"/>
      <c r="AC22" s="1"/>
    </row>
    <row r="23" spans="1:29" x14ac:dyDescent="0.35">
      <c r="A23" s="191"/>
      <c r="B23" s="49">
        <f t="shared" si="4"/>
        <v>2033</v>
      </c>
      <c r="C23" s="194">
        <f t="shared" si="5"/>
        <v>3905016.3620221848</v>
      </c>
      <c r="D23" s="195">
        <f t="shared" si="3"/>
        <v>3905016.3620221848</v>
      </c>
      <c r="E23" s="195">
        <f>D23/(1+Inputs!$B$3)^(B23-Inputs!$B$10)</f>
        <v>1733873.9657685987</v>
      </c>
      <c r="F23" s="1"/>
      <c r="G23" s="1"/>
      <c r="H23" s="1"/>
      <c r="I23" s="1"/>
      <c r="J23" s="1"/>
      <c r="K23" s="1"/>
      <c r="L23" s="1"/>
      <c r="M23" s="1"/>
      <c r="N23" s="1"/>
      <c r="O23" s="1"/>
      <c r="P23" s="1"/>
      <c r="Q23" s="1"/>
      <c r="R23" s="1"/>
      <c r="S23" s="1"/>
      <c r="T23" s="1"/>
      <c r="U23" s="1"/>
      <c r="V23" s="1"/>
      <c r="W23" s="1"/>
      <c r="X23" s="1"/>
      <c r="Y23" s="1"/>
      <c r="Z23" s="1"/>
      <c r="AA23" s="1"/>
      <c r="AB23" s="1"/>
      <c r="AC23" s="1"/>
    </row>
    <row r="24" spans="1:29" x14ac:dyDescent="0.35">
      <c r="A24" s="191"/>
      <c r="B24" s="49">
        <f t="shared" si="4"/>
        <v>2034</v>
      </c>
      <c r="C24" s="194">
        <f t="shared" si="5"/>
        <v>3983116.6892626286</v>
      </c>
      <c r="D24" s="195">
        <f t="shared" si="3"/>
        <v>3983116.6892626286</v>
      </c>
      <c r="E24" s="195">
        <f>D24/(1+Inputs!$B$3)^(B24-Inputs!$B$10)</f>
        <v>1652851.8178354865</v>
      </c>
      <c r="F24" s="1"/>
      <c r="G24" s="1"/>
      <c r="H24" s="1" t="s">
        <v>535</v>
      </c>
      <c r="I24" s="1"/>
      <c r="J24" s="1"/>
      <c r="K24" s="1"/>
      <c r="L24" s="1"/>
      <c r="M24" s="1"/>
      <c r="N24" s="1"/>
      <c r="O24" s="1"/>
      <c r="P24" s="1"/>
      <c r="Q24" s="1"/>
      <c r="R24" s="1"/>
      <c r="S24" s="1"/>
      <c r="T24" s="1"/>
      <c r="U24" s="1"/>
      <c r="V24" s="1"/>
      <c r="W24" s="1"/>
      <c r="X24" s="1"/>
      <c r="Y24" s="1"/>
      <c r="Z24" s="1"/>
      <c r="AA24" s="1"/>
      <c r="AB24" s="1"/>
      <c r="AC24" s="1"/>
    </row>
    <row r="25" spans="1:29" x14ac:dyDescent="0.35">
      <c r="A25" s="191"/>
      <c r="B25" s="49">
        <f t="shared" si="4"/>
        <v>2035</v>
      </c>
      <c r="C25" s="194">
        <f t="shared" si="5"/>
        <v>4062779.0230478812</v>
      </c>
      <c r="D25" s="195">
        <f t="shared" si="3"/>
        <v>4062779.0230478812</v>
      </c>
      <c r="E25" s="195">
        <f>D25/(1+Inputs!$B$3)^(B25-Inputs!$B$10)</f>
        <v>1575615.7515814919</v>
      </c>
      <c r="F25" s="1"/>
      <c r="G25" s="1"/>
      <c r="H25" s="1"/>
      <c r="I25" s="1"/>
      <c r="J25" s="1"/>
      <c r="K25" s="1"/>
      <c r="L25" s="1"/>
      <c r="M25" s="1"/>
      <c r="N25" s="1"/>
      <c r="O25" s="1"/>
      <c r="P25" s="1"/>
      <c r="Q25" s="1"/>
      <c r="R25" s="1"/>
      <c r="S25" s="1"/>
      <c r="T25" s="1"/>
      <c r="U25" s="1"/>
      <c r="V25" s="1"/>
      <c r="W25" s="1"/>
      <c r="X25" s="1"/>
      <c r="Y25" s="1"/>
      <c r="Z25" s="1"/>
      <c r="AA25" s="1"/>
      <c r="AB25" s="1"/>
      <c r="AC25" s="1"/>
    </row>
    <row r="26" spans="1:29" x14ac:dyDescent="0.35">
      <c r="A26" s="191"/>
      <c r="B26" s="49">
        <f t="shared" si="4"/>
        <v>2036</v>
      </c>
      <c r="C26" s="194">
        <f t="shared" si="5"/>
        <v>4144034.6035088389</v>
      </c>
      <c r="D26" s="195">
        <f t="shared" si="3"/>
        <v>4144034.6035088389</v>
      </c>
      <c r="E26" s="195">
        <f>D26/(1+Inputs!$B$3)^(B26-Inputs!$B$10)</f>
        <v>1501988.8473019828</v>
      </c>
      <c r="F26" s="1"/>
      <c r="G26" s="1"/>
      <c r="H26" s="1"/>
      <c r="I26" s="1"/>
      <c r="J26" s="1"/>
      <c r="K26" s="1"/>
      <c r="L26" s="1"/>
      <c r="M26" s="1"/>
      <c r="N26" s="1"/>
      <c r="O26" s="1"/>
      <c r="P26" s="1"/>
      <c r="Q26" s="1"/>
      <c r="R26" s="1"/>
      <c r="S26" s="1"/>
      <c r="T26" s="1"/>
      <c r="U26" s="1"/>
      <c r="V26" s="1"/>
      <c r="W26" s="1"/>
      <c r="X26" s="1"/>
      <c r="Y26" s="1"/>
      <c r="Z26" s="1"/>
      <c r="AA26" s="1"/>
      <c r="AB26" s="1"/>
      <c r="AC26" s="1"/>
    </row>
    <row r="27" spans="1:29" x14ac:dyDescent="0.35">
      <c r="A27" s="191"/>
      <c r="B27" s="49">
        <f t="shared" si="4"/>
        <v>2037</v>
      </c>
      <c r="C27" s="194">
        <f t="shared" si="5"/>
        <v>4226915.2955790162</v>
      </c>
      <c r="D27" s="195">
        <f t="shared" si="3"/>
        <v>4226915.2955790162</v>
      </c>
      <c r="E27" s="195">
        <f>D27/(1+Inputs!$B$3)^(B27-Inputs!$B$10)</f>
        <v>1431802.4525682456</v>
      </c>
      <c r="F27" s="1"/>
      <c r="G27" s="1"/>
      <c r="H27" s="1"/>
      <c r="I27" s="1"/>
      <c r="J27" s="1"/>
      <c r="K27" s="1"/>
      <c r="L27" s="1"/>
      <c r="M27" s="1"/>
      <c r="N27" s="1"/>
      <c r="O27" s="1"/>
      <c r="P27" s="1"/>
      <c r="Q27" s="1"/>
      <c r="R27" s="1"/>
      <c r="S27" s="1"/>
      <c r="T27" s="1"/>
      <c r="U27" s="1"/>
      <c r="V27" s="1"/>
      <c r="W27" s="1"/>
      <c r="X27" s="1"/>
      <c r="Y27" s="1"/>
      <c r="Z27" s="1"/>
      <c r="AA27" s="1"/>
      <c r="AB27" s="1"/>
      <c r="AC27" s="1"/>
    </row>
    <row r="28" spans="1:29" x14ac:dyDescent="0.35">
      <c r="A28" s="191"/>
      <c r="B28" s="49">
        <f t="shared" si="4"/>
        <v>2038</v>
      </c>
      <c r="C28" s="194">
        <f t="shared" si="5"/>
        <v>4311453.6014905963</v>
      </c>
      <c r="D28" s="195">
        <f t="shared" si="3"/>
        <v>4311453.6014905963</v>
      </c>
      <c r="E28" s="195">
        <f>D28/(1+Inputs!$B$3)^(B28-Inputs!$B$10)</f>
        <v>1364895.795906178</v>
      </c>
      <c r="F28" s="1"/>
      <c r="G28" s="1"/>
      <c r="H28" s="1"/>
      <c r="I28" s="1"/>
      <c r="J28" s="1"/>
      <c r="K28" s="1"/>
      <c r="L28" s="1"/>
      <c r="M28" s="1"/>
      <c r="N28" s="1"/>
      <c r="O28" s="1"/>
      <c r="P28" s="1"/>
      <c r="Q28" s="1"/>
      <c r="R28" s="1"/>
      <c r="S28" s="1"/>
      <c r="T28" s="1"/>
      <c r="U28" s="1"/>
      <c r="V28" s="1"/>
      <c r="W28" s="1"/>
      <c r="X28" s="1"/>
      <c r="Y28" s="1"/>
      <c r="Z28" s="1"/>
      <c r="AA28" s="1"/>
      <c r="AB28" s="1"/>
      <c r="AC28" s="1"/>
    </row>
    <row r="29" spans="1:29" x14ac:dyDescent="0.35">
      <c r="A29" s="191"/>
      <c r="B29" s="49">
        <f t="shared" si="4"/>
        <v>2039</v>
      </c>
      <c r="C29" s="194">
        <f t="shared" si="5"/>
        <v>4397682.6735204086</v>
      </c>
      <c r="D29" s="195">
        <f t="shared" si="3"/>
        <v>4397682.6735204086</v>
      </c>
      <c r="E29" s="195">
        <f>D29/(1+Inputs!$B$3)^(B29-Inputs!$B$10)</f>
        <v>1301115.6185273847</v>
      </c>
      <c r="F29" s="1"/>
      <c r="G29" s="1"/>
      <c r="H29" s="1"/>
      <c r="I29" s="1"/>
      <c r="J29" s="1"/>
      <c r="K29" s="1"/>
      <c r="L29" s="1"/>
      <c r="M29" s="1"/>
      <c r="N29" s="1"/>
      <c r="O29" s="1"/>
      <c r="P29" s="1"/>
      <c r="Q29" s="1"/>
      <c r="R29" s="1"/>
      <c r="S29" s="1"/>
      <c r="T29" s="1"/>
      <c r="U29" s="1"/>
      <c r="V29" s="1"/>
      <c r="W29" s="1"/>
      <c r="X29" s="1"/>
      <c r="Y29" s="1"/>
      <c r="Z29" s="1"/>
      <c r="AA29" s="1"/>
      <c r="AB29" s="1"/>
      <c r="AC29" s="1"/>
    </row>
    <row r="30" spans="1:29" x14ac:dyDescent="0.35">
      <c r="A30" s="191"/>
      <c r="B30" s="49">
        <f t="shared" si="4"/>
        <v>2040</v>
      </c>
      <c r="C30" s="194">
        <f t="shared" si="5"/>
        <v>4485636.3269908167</v>
      </c>
      <c r="D30" s="195">
        <f t="shared" si="3"/>
        <v>4485636.3269908167</v>
      </c>
      <c r="E30" s="195">
        <f>D30/(1+Inputs!$B$3)^(B30-Inputs!$B$10)</f>
        <v>1240315.8232690957</v>
      </c>
      <c r="F30" s="1"/>
      <c r="G30" s="1"/>
      <c r="H30" s="1"/>
      <c r="I30" s="1"/>
      <c r="J30" s="1"/>
      <c r="K30" s="1"/>
      <c r="L30" s="1"/>
      <c r="M30" s="1"/>
      <c r="N30" s="1"/>
      <c r="O30" s="1"/>
      <c r="P30" s="1"/>
      <c r="Q30" s="1"/>
      <c r="R30" s="1"/>
      <c r="S30" s="1"/>
      <c r="T30" s="1"/>
      <c r="U30" s="1"/>
      <c r="V30" s="1"/>
      <c r="W30" s="1"/>
      <c r="X30" s="1"/>
      <c r="Y30" s="1"/>
      <c r="Z30" s="1"/>
      <c r="AA30" s="1"/>
      <c r="AB30" s="1"/>
      <c r="AC30" s="1"/>
    </row>
    <row r="31" spans="1:29" x14ac:dyDescent="0.35">
      <c r="A31" s="191"/>
      <c r="B31" s="49">
        <f t="shared" si="4"/>
        <v>2041</v>
      </c>
      <c r="C31" s="194">
        <f t="shared" si="5"/>
        <v>4575349.0535306334</v>
      </c>
      <c r="D31" s="195">
        <f t="shared" si="3"/>
        <v>4575349.0535306334</v>
      </c>
      <c r="E31" s="195">
        <f>D31/(1+Inputs!$B$3)^(B31-Inputs!$B$10)</f>
        <v>1182357.1399387643</v>
      </c>
      <c r="F31" s="1"/>
      <c r="G31" s="1"/>
      <c r="H31" s="1"/>
      <c r="I31" s="1"/>
      <c r="J31" s="1"/>
      <c r="K31" s="1"/>
      <c r="L31" s="1"/>
      <c r="M31" s="1"/>
      <c r="N31" s="1"/>
      <c r="O31" s="1"/>
      <c r="P31" s="1"/>
      <c r="Q31" s="1"/>
      <c r="R31" s="1"/>
      <c r="S31" s="1"/>
      <c r="T31" s="1"/>
      <c r="U31" s="1"/>
      <c r="V31" s="1"/>
      <c r="W31" s="1"/>
      <c r="X31" s="1"/>
      <c r="Y31" s="1"/>
      <c r="Z31" s="1"/>
      <c r="AA31" s="1"/>
      <c r="AB31" s="1"/>
      <c r="AC31" s="1"/>
    </row>
    <row r="32" spans="1:29" x14ac:dyDescent="0.35">
      <c r="A32" s="191"/>
      <c r="B32" s="49">
        <f t="shared" si="4"/>
        <v>2042</v>
      </c>
      <c r="C32" s="194">
        <f t="shared" si="5"/>
        <v>4666856.034601246</v>
      </c>
      <c r="D32" s="195">
        <f t="shared" si="3"/>
        <v>4666856.034601246</v>
      </c>
      <c r="E32" s="195">
        <f>D32/(1+Inputs!$B$3)^(B32-Inputs!$B$10)</f>
        <v>1127106.8062967658</v>
      </c>
      <c r="F32" s="1"/>
      <c r="G32" s="1"/>
      <c r="H32" s="1"/>
      <c r="I32" s="1"/>
      <c r="J32" s="1"/>
      <c r="K32" s="1"/>
      <c r="L32" s="1"/>
      <c r="M32" s="1"/>
      <c r="N32" s="1"/>
      <c r="O32" s="1"/>
      <c r="P32" s="1"/>
      <c r="Q32" s="1"/>
      <c r="R32" s="1"/>
      <c r="S32" s="1"/>
      <c r="T32" s="1"/>
      <c r="U32" s="1"/>
      <c r="V32" s="1"/>
      <c r="W32" s="1"/>
      <c r="X32" s="1"/>
      <c r="Y32" s="1"/>
      <c r="Z32" s="1"/>
      <c r="AA32" s="1"/>
      <c r="AB32" s="1"/>
      <c r="AC32" s="1"/>
    </row>
    <row r="33" spans="1:29" x14ac:dyDescent="0.35">
      <c r="A33" s="191"/>
      <c r="B33" s="49">
        <f t="shared" si="4"/>
        <v>2043</v>
      </c>
      <c r="C33" s="194">
        <f t="shared" si="5"/>
        <v>4760193.1552932709</v>
      </c>
      <c r="D33" s="195">
        <f t="shared" si="3"/>
        <v>4760193.1552932709</v>
      </c>
      <c r="E33" s="195">
        <f>D33/(1+Inputs!$B$3)^(B33-Inputs!$B$10)</f>
        <v>1074438.2639464496</v>
      </c>
      <c r="F33" s="1"/>
      <c r="G33" s="1"/>
      <c r="H33" s="1"/>
      <c r="I33" s="1"/>
      <c r="J33" s="1"/>
      <c r="K33" s="1"/>
      <c r="L33" s="1"/>
      <c r="M33" s="1"/>
      <c r="N33" s="1"/>
      <c r="O33" s="1"/>
      <c r="P33" s="1"/>
      <c r="Q33" s="1"/>
      <c r="R33" s="1"/>
      <c r="S33" s="1"/>
      <c r="T33" s="1"/>
      <c r="U33" s="1"/>
      <c r="V33" s="1"/>
      <c r="W33" s="1"/>
      <c r="X33" s="1"/>
      <c r="Y33" s="1"/>
      <c r="Z33" s="1"/>
      <c r="AA33" s="1"/>
      <c r="AB33" s="1"/>
      <c r="AC33" s="1"/>
    </row>
    <row r="34" spans="1:29" x14ac:dyDescent="0.35">
      <c r="A34" s="191"/>
      <c r="B34" s="49">
        <f t="shared" si="4"/>
        <v>2044</v>
      </c>
      <c r="C34" s="194">
        <f t="shared" si="5"/>
        <v>4855397.0183991361</v>
      </c>
      <c r="D34" s="195">
        <f t="shared" si="3"/>
        <v>4855397.0183991361</v>
      </c>
      <c r="E34" s="195">
        <f>D34/(1+Inputs!$B$3)^(B34-Inputs!$B$10)</f>
        <v>1024230.8684349332</v>
      </c>
      <c r="F34" s="1"/>
      <c r="G34" s="1"/>
      <c r="H34" s="1"/>
      <c r="I34" s="1"/>
      <c r="J34" s="1"/>
      <c r="K34" s="1"/>
      <c r="L34" s="1"/>
      <c r="M34" s="1"/>
      <c r="N34" s="1"/>
      <c r="O34" s="1"/>
      <c r="P34" s="1"/>
      <c r="Q34" s="1"/>
      <c r="R34" s="1"/>
      <c r="S34" s="1"/>
      <c r="T34" s="1"/>
      <c r="U34" s="1"/>
      <c r="V34" s="1"/>
      <c r="W34" s="1"/>
      <c r="X34" s="1"/>
      <c r="Y34" s="1"/>
      <c r="Z34" s="1"/>
      <c r="AA34" s="1"/>
      <c r="AB34" s="1"/>
      <c r="AC34" s="1"/>
    </row>
    <row r="35" spans="1:29" x14ac:dyDescent="0.35">
      <c r="A35" s="191"/>
      <c r="B35" s="49">
        <f t="shared" si="4"/>
        <v>2045</v>
      </c>
      <c r="C35" s="194">
        <f t="shared" si="5"/>
        <v>4952504.9587671189</v>
      </c>
      <c r="D35" s="195">
        <f t="shared" si="3"/>
        <v>4952504.9587671189</v>
      </c>
      <c r="E35" s="195">
        <f>D35/(1+Inputs!$B$3)^(B35-Inputs!$B$10)</f>
        <v>976369.61290059052</v>
      </c>
      <c r="F35" s="1"/>
      <c r="G35" s="1"/>
      <c r="H35" s="1"/>
      <c r="I35" s="1"/>
      <c r="J35" s="1"/>
      <c r="K35" s="1"/>
      <c r="L35" s="1"/>
      <c r="M35" s="1"/>
      <c r="N35" s="1"/>
      <c r="O35" s="1"/>
      <c r="P35" s="1"/>
      <c r="Q35" s="1"/>
      <c r="R35" s="1"/>
      <c r="S35" s="1"/>
      <c r="T35" s="1"/>
      <c r="U35" s="1"/>
      <c r="V35" s="1"/>
      <c r="W35" s="1"/>
      <c r="X35" s="1"/>
      <c r="Y35" s="1"/>
      <c r="Z35" s="1"/>
      <c r="AA35" s="1"/>
      <c r="AB35" s="1"/>
      <c r="AC35" s="1"/>
    </row>
    <row r="36" spans="1:29" x14ac:dyDescent="0.35">
      <c r="A36" s="191"/>
      <c r="B36" s="49">
        <f t="shared" si="4"/>
        <v>2046</v>
      </c>
      <c r="C36" s="194">
        <f t="shared" si="5"/>
        <v>5051555.0579424612</v>
      </c>
      <c r="D36" s="195">
        <f t="shared" si="3"/>
        <v>5051555.0579424612</v>
      </c>
      <c r="E36" s="195">
        <f>D36/(1+Inputs!$B$3)^(B36-Inputs!$B$10)</f>
        <v>930744.8646342078</v>
      </c>
      <c r="F36" s="1"/>
      <c r="G36" s="1"/>
      <c r="H36" s="1"/>
      <c r="I36" s="1"/>
      <c r="J36" s="1"/>
      <c r="K36" s="1"/>
      <c r="L36" s="1"/>
      <c r="M36" s="1"/>
      <c r="N36" s="1"/>
      <c r="O36" s="1"/>
      <c r="P36" s="1"/>
      <c r="Q36" s="1"/>
      <c r="R36" s="1"/>
      <c r="S36" s="1"/>
      <c r="T36" s="1"/>
      <c r="U36" s="1"/>
      <c r="V36" s="1"/>
      <c r="W36" s="1"/>
      <c r="X36" s="1"/>
      <c r="Y36" s="1"/>
      <c r="Z36" s="1"/>
      <c r="AA36" s="1"/>
      <c r="AB36" s="1"/>
      <c r="AC36" s="1"/>
    </row>
    <row r="37" spans="1:29" x14ac:dyDescent="0.35">
      <c r="A37" s="191"/>
      <c r="B37" s="49">
        <f t="shared" si="4"/>
        <v>2047</v>
      </c>
      <c r="C37" s="194">
        <f t="shared" si="5"/>
        <v>5152586.1591013102</v>
      </c>
      <c r="D37" s="195">
        <f t="shared" si="3"/>
        <v>5152586.1591013102</v>
      </c>
      <c r="E37" s="195">
        <f>D37/(1+Inputs!$B$3)^(B37-Inputs!$B$10)</f>
        <v>887252.11395036627</v>
      </c>
      <c r="F37" s="1"/>
      <c r="G37" s="1"/>
      <c r="H37" s="1"/>
      <c r="I37" s="1"/>
      <c r="J37" s="1"/>
      <c r="K37" s="1"/>
      <c r="L37" s="1"/>
      <c r="M37" s="1"/>
      <c r="N37" s="1"/>
      <c r="O37" s="1"/>
      <c r="P37" s="1"/>
      <c r="Q37" s="1"/>
      <c r="R37" s="1"/>
      <c r="S37" s="1"/>
      <c r="T37" s="1"/>
      <c r="U37" s="1"/>
      <c r="V37" s="1"/>
      <c r="W37" s="1"/>
      <c r="X37" s="1"/>
      <c r="Y37" s="1"/>
      <c r="Z37" s="1"/>
      <c r="AA37" s="1"/>
      <c r="AB37" s="1"/>
      <c r="AC37" s="1"/>
    </row>
    <row r="38" spans="1:29" x14ac:dyDescent="0.35">
      <c r="A38" s="191"/>
      <c r="B38" s="196" t="s">
        <v>536</v>
      </c>
      <c r="C38" s="197"/>
      <c r="D38" s="197">
        <f>SUM(D18:D37)</f>
        <v>85937212.515495509</v>
      </c>
      <c r="E38" s="197">
        <f>SUM(E18:E37)</f>
        <v>29035688.238045212</v>
      </c>
      <c r="F38" s="1"/>
      <c r="G38" s="1"/>
      <c r="H38" s="1"/>
      <c r="I38" s="1"/>
      <c r="J38" s="1"/>
      <c r="K38" s="1"/>
      <c r="L38" s="1"/>
      <c r="M38" s="1"/>
      <c r="N38" s="1"/>
      <c r="O38" s="1"/>
      <c r="P38" s="1"/>
      <c r="Q38" s="1"/>
      <c r="R38" s="1"/>
      <c r="S38" s="1"/>
      <c r="T38" s="1"/>
      <c r="U38" s="1"/>
      <c r="V38" s="1"/>
      <c r="W38" s="1"/>
      <c r="X38" s="1"/>
      <c r="Y38" s="1"/>
      <c r="Z38" s="1"/>
      <c r="AA38" s="1"/>
      <c r="AB38" s="1"/>
      <c r="AC38" s="1"/>
    </row>
    <row r="39" spans="1:29" x14ac:dyDescent="0.3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row>
    <row r="40" spans="1:29" x14ac:dyDescent="0.3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row>
  </sheetData>
  <sheetProtection algorithmName="SHA-512" hashValue="CKMx9meRrrPa+eyfHCYcQhvPgqqwdSPngnBRgnk7kDnZFRqE42tOzoZFk0Vb2XaBQAdv5By3Lme9Iyv0RMdRqg==" saltValue="HNl6AdrD0cClMR7Pblr/OA==" spinCount="100000" sheet="1" objects="1" scenarios="1"/>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74A87-D100-4369-9655-0204BEEECA6E}">
  <dimension ref="A1:S66"/>
  <sheetViews>
    <sheetView topLeftCell="A13" workbookViewId="0">
      <selection activeCell="E12" sqref="E12"/>
    </sheetView>
  </sheetViews>
  <sheetFormatPr defaultColWidth="9.26953125" defaultRowHeight="14.5" x14ac:dyDescent="0.35"/>
  <cols>
    <col min="1" max="1" width="46.54296875" customWidth="1"/>
    <col min="2" max="2" width="21.453125" customWidth="1"/>
    <col min="3" max="3" width="22.7265625" customWidth="1"/>
    <col min="4" max="4" width="15.54296875" customWidth="1"/>
    <col min="5" max="5" width="12.54296875" customWidth="1"/>
    <col min="6" max="6" width="26.453125" bestFit="1" customWidth="1"/>
    <col min="7" max="7" width="12.54296875" customWidth="1"/>
    <col min="8" max="8" width="14.26953125" customWidth="1"/>
    <col min="9" max="16" width="12.54296875" customWidth="1"/>
    <col min="17" max="17" width="13.26953125" customWidth="1"/>
  </cols>
  <sheetData>
    <row r="1" spans="1:19" x14ac:dyDescent="0.35">
      <c r="A1" s="5" t="s">
        <v>110</v>
      </c>
    </row>
    <row r="2" spans="1:19" x14ac:dyDescent="0.35">
      <c r="A2" t="s">
        <v>537</v>
      </c>
    </row>
    <row r="3" spans="1:19" x14ac:dyDescent="0.35">
      <c r="A3" t="s">
        <v>538</v>
      </c>
    </row>
    <row r="5" spans="1:19" x14ac:dyDescent="0.35">
      <c r="A5" s="7" t="s">
        <v>385</v>
      </c>
      <c r="B5" s="7">
        <f>Inputs!B3</f>
        <v>7.0000000000000007E-2</v>
      </c>
    </row>
    <row r="6" spans="1:19" x14ac:dyDescent="0.35">
      <c r="A6" t="s">
        <v>383</v>
      </c>
      <c r="B6">
        <f>Inputs!B10</f>
        <v>2021</v>
      </c>
    </row>
    <row r="7" spans="1:19" x14ac:dyDescent="0.35">
      <c r="A7" t="s">
        <v>539</v>
      </c>
      <c r="B7">
        <f>Inputs!B11</f>
        <v>2028</v>
      </c>
    </row>
    <row r="8" spans="1:19" x14ac:dyDescent="0.35">
      <c r="A8" t="s">
        <v>540</v>
      </c>
      <c r="B8">
        <v>2000</v>
      </c>
      <c r="C8" t="s">
        <v>541</v>
      </c>
    </row>
    <row r="10" spans="1:19" x14ac:dyDescent="0.35">
      <c r="A10" s="5"/>
      <c r="B10" s="9" t="s">
        <v>542</v>
      </c>
      <c r="E10" s="37" t="s">
        <v>543</v>
      </c>
      <c r="H10" t="s">
        <v>544</v>
      </c>
      <c r="I10" s="5"/>
      <c r="J10" s="5"/>
      <c r="L10" s="5"/>
      <c r="M10" s="5"/>
      <c r="N10" s="5"/>
      <c r="O10" s="5"/>
      <c r="P10" s="5"/>
      <c r="Q10" s="5"/>
      <c r="R10" s="5"/>
      <c r="S10" s="5"/>
    </row>
    <row r="11" spans="1:19" x14ac:dyDescent="0.35">
      <c r="A11" s="30" t="s">
        <v>545</v>
      </c>
      <c r="B11" s="322">
        <f>0.15</f>
        <v>0.15</v>
      </c>
      <c r="E11" s="37">
        <v>8043</v>
      </c>
      <c r="F11" t="s">
        <v>546</v>
      </c>
      <c r="H11" s="7">
        <v>1</v>
      </c>
      <c r="I11" s="122"/>
      <c r="J11" s="5"/>
      <c r="L11" s="5"/>
      <c r="M11" s="5"/>
      <c r="N11" s="5"/>
      <c r="O11" s="5"/>
      <c r="P11" s="5"/>
      <c r="Q11" s="5"/>
      <c r="R11" s="5"/>
      <c r="S11" s="5"/>
    </row>
    <row r="12" spans="1:19" x14ac:dyDescent="0.35">
      <c r="A12" t="str">
        <f>Inputs!A17</f>
        <v>Average Corridor Travel Time without Project (hr)</v>
      </c>
      <c r="B12">
        <f>Inputs!B17*60</f>
        <v>15</v>
      </c>
      <c r="C12" t="s">
        <v>448</v>
      </c>
      <c r="E12" s="37">
        <v>14136</v>
      </c>
      <c r="F12" t="s">
        <v>547</v>
      </c>
      <c r="H12" s="7">
        <v>0.25</v>
      </c>
      <c r="I12" s="123"/>
      <c r="J12" s="123"/>
      <c r="L12" s="123"/>
      <c r="M12" s="123"/>
      <c r="N12" s="123"/>
      <c r="O12" s="123"/>
      <c r="P12" s="123"/>
      <c r="Q12" s="123"/>
      <c r="R12" s="123"/>
      <c r="S12" s="123"/>
    </row>
    <row r="13" spans="1:19" x14ac:dyDescent="0.35">
      <c r="A13" t="str">
        <f>Inputs!A18</f>
        <v>Average Corridor Travel Time with Project (hr)</v>
      </c>
      <c r="B13">
        <f>Inputs!B18*60</f>
        <v>8</v>
      </c>
      <c r="C13" t="s">
        <v>448</v>
      </c>
      <c r="E13" s="37">
        <v>29167</v>
      </c>
      <c r="F13" t="s">
        <v>529</v>
      </c>
      <c r="H13" s="7">
        <v>0.05</v>
      </c>
      <c r="I13" s="123"/>
      <c r="J13" s="123"/>
      <c r="K13" s="123"/>
      <c r="L13" s="123"/>
      <c r="M13" s="123"/>
      <c r="N13" s="123"/>
      <c r="O13" s="123"/>
      <c r="P13" s="123"/>
      <c r="Q13" s="123"/>
      <c r="R13" s="123"/>
      <c r="S13" s="123"/>
    </row>
    <row r="14" spans="1:19" x14ac:dyDescent="0.35">
      <c r="A14" t="str">
        <f>Inputs!A19</f>
        <v>Average Corridor Travel Time Savings (hr per veh)</v>
      </c>
      <c r="B14">
        <f>Inputs!B19*60</f>
        <v>7</v>
      </c>
      <c r="C14" t="s">
        <v>448</v>
      </c>
      <c r="E14" s="37">
        <v>43410</v>
      </c>
      <c r="F14" t="s">
        <v>530</v>
      </c>
      <c r="H14" s="7">
        <v>0.05</v>
      </c>
      <c r="I14" s="123"/>
      <c r="J14" s="123"/>
      <c r="K14" s="123"/>
      <c r="L14" s="123"/>
      <c r="M14" s="123"/>
      <c r="N14" s="123"/>
      <c r="O14" s="123"/>
      <c r="P14" s="123"/>
      <c r="Q14" s="123"/>
      <c r="R14" s="123"/>
      <c r="S14" s="123"/>
    </row>
    <row r="15" spans="1:19" ht="15" customHeight="1" x14ac:dyDescent="0.35">
      <c r="A15" t="s">
        <v>548</v>
      </c>
      <c r="B15">
        <f>B8</f>
        <v>2000</v>
      </c>
      <c r="E15" s="37">
        <v>37564</v>
      </c>
      <c r="F15" t="s">
        <v>531</v>
      </c>
      <c r="H15" s="7">
        <v>0.05</v>
      </c>
      <c r="I15" s="123"/>
      <c r="J15" s="123"/>
      <c r="K15" s="123"/>
      <c r="L15" s="123"/>
      <c r="M15" s="123"/>
      <c r="N15" s="123"/>
      <c r="O15" s="123"/>
      <c r="P15" s="123"/>
      <c r="Q15" s="123"/>
      <c r="R15" s="123"/>
      <c r="S15" s="123"/>
    </row>
    <row r="16" spans="1:19" ht="15" customHeight="1" x14ac:dyDescent="0.35">
      <c r="A16" t="s">
        <v>549</v>
      </c>
      <c r="B16" s="30" t="s">
        <v>550</v>
      </c>
      <c r="E16" s="37">
        <f>SUM(E11:E15)</f>
        <v>132320</v>
      </c>
      <c r="F16" t="s">
        <v>551</v>
      </c>
      <c r="I16" s="123"/>
      <c r="J16" s="123"/>
      <c r="K16" s="123"/>
      <c r="L16" s="123"/>
      <c r="M16" s="123"/>
      <c r="N16" s="123"/>
      <c r="O16" s="123"/>
      <c r="P16" s="123"/>
      <c r="Q16" s="123"/>
      <c r="R16" s="123"/>
      <c r="S16" s="123"/>
    </row>
    <row r="17" spans="1:19" x14ac:dyDescent="0.35">
      <c r="B17" s="30" t="s">
        <v>552</v>
      </c>
      <c r="E17" s="321">
        <f>SUMPRODUCT(E11:E15,H11:H15)</f>
        <v>17084.05</v>
      </c>
      <c r="F17" t="s">
        <v>553</v>
      </c>
      <c r="I17" s="122"/>
      <c r="J17" s="123"/>
      <c r="K17" s="123"/>
      <c r="L17" s="123"/>
      <c r="M17" s="123"/>
      <c r="N17" s="123"/>
      <c r="O17" s="123"/>
      <c r="P17" s="123"/>
      <c r="Q17" s="123"/>
      <c r="R17" s="123"/>
      <c r="S17" s="123"/>
    </row>
    <row r="18" spans="1:19" x14ac:dyDescent="0.35">
      <c r="A18" s="5" t="s">
        <v>554</v>
      </c>
      <c r="E18" s="30" t="s">
        <v>555</v>
      </c>
      <c r="F18" s="30"/>
      <c r="I18" s="122"/>
      <c r="J18" s="5"/>
      <c r="K18" s="5"/>
      <c r="L18" s="5"/>
      <c r="M18" s="5"/>
      <c r="N18" s="5"/>
      <c r="O18" s="5"/>
      <c r="P18" s="5"/>
      <c r="Q18" s="5"/>
      <c r="R18" s="5"/>
      <c r="S18" s="5"/>
    </row>
    <row r="19" spans="1:19" x14ac:dyDescent="0.35">
      <c r="A19" t="s">
        <v>556</v>
      </c>
      <c r="B19" t="s">
        <v>557</v>
      </c>
      <c r="D19" s="30"/>
      <c r="E19" s="28"/>
      <c r="H19" s="30"/>
      <c r="I19" s="258"/>
      <c r="J19" s="39"/>
      <c r="K19" s="39"/>
      <c r="L19" s="39"/>
      <c r="M19" s="5"/>
      <c r="N19" s="5"/>
      <c r="O19" s="5"/>
      <c r="P19" s="5"/>
      <c r="Q19" s="5"/>
      <c r="R19" s="5"/>
      <c r="S19" s="5"/>
    </row>
    <row r="20" spans="1:19" x14ac:dyDescent="0.35">
      <c r="B20" s="37">
        <f>E17</f>
        <v>17084.05</v>
      </c>
      <c r="C20" t="s">
        <v>558</v>
      </c>
      <c r="D20" s="30"/>
      <c r="E20" s="39" t="s">
        <v>559</v>
      </c>
      <c r="F20" s="30"/>
      <c r="G20" s="30"/>
      <c r="J20" s="259"/>
      <c r="K20" s="30"/>
      <c r="L20" s="39"/>
      <c r="M20" s="5"/>
      <c r="N20" s="5"/>
      <c r="O20" s="5"/>
      <c r="P20" s="5"/>
      <c r="Q20" s="5"/>
      <c r="R20" s="5"/>
      <c r="S20" s="5"/>
    </row>
    <row r="21" spans="1:19" x14ac:dyDescent="0.35">
      <c r="B21" s="117">
        <f>(5.5/1000)*B20</f>
        <v>93.962274999999991</v>
      </c>
      <c r="C21" t="s">
        <v>560</v>
      </c>
      <c r="D21" s="259"/>
      <c r="E21" s="30" t="s">
        <v>561</v>
      </c>
      <c r="F21" s="30"/>
      <c r="G21" s="30"/>
      <c r="J21" s="30"/>
      <c r="K21" s="30"/>
      <c r="L21" s="39"/>
      <c r="M21" s="5"/>
      <c r="N21" s="5"/>
      <c r="O21" s="5"/>
      <c r="P21" s="5"/>
      <c r="Q21" s="5"/>
      <c r="R21" s="5"/>
      <c r="S21" s="5"/>
    </row>
    <row r="22" spans="1:19" x14ac:dyDescent="0.35">
      <c r="A22" t="s">
        <v>562</v>
      </c>
      <c r="B22" t="s">
        <v>563</v>
      </c>
      <c r="D22" s="259"/>
      <c r="E22" s="30"/>
      <c r="F22" s="259">
        <f>B20</f>
        <v>17084.05</v>
      </c>
      <c r="G22" s="259" t="str">
        <f>C20</f>
        <v>population</v>
      </c>
      <c r="J22" s="259"/>
      <c r="K22" s="30"/>
      <c r="L22" s="39"/>
      <c r="M22" s="5"/>
      <c r="N22" s="5"/>
      <c r="O22" s="5"/>
      <c r="P22" s="5"/>
      <c r="Q22" s="5"/>
      <c r="R22" s="5"/>
      <c r="S22" s="5"/>
    </row>
    <row r="23" spans="1:19" x14ac:dyDescent="0.35">
      <c r="B23">
        <f>B12</f>
        <v>15</v>
      </c>
      <c r="C23" t="s">
        <v>564</v>
      </c>
      <c r="D23" s="260"/>
      <c r="E23" s="30"/>
      <c r="F23" s="256">
        <f>F22*58.5/100000</f>
        <v>9.9941692499999988</v>
      </c>
      <c r="G23" s="30" t="s">
        <v>565</v>
      </c>
      <c r="J23" s="256"/>
      <c r="K23" s="30"/>
      <c r="L23" s="30"/>
    </row>
    <row r="24" spans="1:19" x14ac:dyDescent="0.35">
      <c r="B24" s="31">
        <f>B13</f>
        <v>8</v>
      </c>
      <c r="C24" t="s">
        <v>566</v>
      </c>
      <c r="D24" s="30"/>
      <c r="E24" s="30" t="s">
        <v>567</v>
      </c>
      <c r="F24" s="30"/>
      <c r="G24" s="30"/>
      <c r="J24" s="30"/>
      <c r="K24" s="30"/>
      <c r="L24" s="30"/>
    </row>
    <row r="25" spans="1:19" x14ac:dyDescent="0.35">
      <c r="A25" t="s">
        <v>568</v>
      </c>
      <c r="B25" t="s">
        <v>569</v>
      </c>
      <c r="D25" s="261"/>
      <c r="E25" s="30"/>
      <c r="F25" s="30">
        <f>B23</f>
        <v>15</v>
      </c>
      <c r="G25" s="30" t="s">
        <v>564</v>
      </c>
      <c r="J25" s="262"/>
      <c r="K25" s="30"/>
      <c r="L25" s="30"/>
    </row>
    <row r="26" spans="1:19" x14ac:dyDescent="0.35">
      <c r="B26" s="38">
        <f>0.456-0.00264*B23</f>
        <v>0.41639999999999999</v>
      </c>
      <c r="C26" t="s">
        <v>570</v>
      </c>
      <c r="D26" s="262"/>
      <c r="E26" s="30"/>
      <c r="F26" s="30">
        <f>B24</f>
        <v>8</v>
      </c>
      <c r="G26" s="30" t="s">
        <v>566</v>
      </c>
      <c r="J26" s="262"/>
      <c r="K26" s="30"/>
      <c r="L26" s="30"/>
    </row>
    <row r="27" spans="1:19" x14ac:dyDescent="0.35">
      <c r="B27" s="38">
        <f>0.456-0.00264*B24</f>
        <v>0.43488000000000004</v>
      </c>
      <c r="C27" t="s">
        <v>571</v>
      </c>
      <c r="D27" s="30"/>
      <c r="E27" s="30" t="s">
        <v>572</v>
      </c>
      <c r="F27" s="30"/>
      <c r="G27" s="30"/>
      <c r="J27" s="30"/>
      <c r="K27" s="30"/>
      <c r="L27" s="30"/>
    </row>
    <row r="28" spans="1:19" x14ac:dyDescent="0.35">
      <c r="A28" t="s">
        <v>573</v>
      </c>
      <c r="B28" t="s">
        <v>574</v>
      </c>
      <c r="D28" s="256"/>
      <c r="E28" s="30"/>
      <c r="F28" s="256">
        <f>(1+EXP(-0.26+0.106*(F25+1)+0.139*(F25+2)))^(-1)</f>
        <v>2.1902683653085439E-2</v>
      </c>
      <c r="G28" s="30" t="s">
        <v>570</v>
      </c>
      <c r="J28" s="256"/>
      <c r="K28" s="30"/>
      <c r="L28" s="30"/>
    </row>
    <row r="29" spans="1:19" x14ac:dyDescent="0.35">
      <c r="B29" s="124">
        <f>3845+(431*B23)</f>
        <v>10310</v>
      </c>
      <c r="C29" t="s">
        <v>575</v>
      </c>
      <c r="D29" s="256"/>
      <c r="E29" s="30"/>
      <c r="F29" s="256">
        <f>(1+EXP(-0.26+0.106*(F26+1)+0.139*(F26+2)))^(-1)</f>
        <v>0.11066169048677241</v>
      </c>
      <c r="G29" s="30" t="s">
        <v>571</v>
      </c>
      <c r="J29" s="256"/>
      <c r="K29" s="30"/>
      <c r="L29" s="30"/>
    </row>
    <row r="30" spans="1:19" x14ac:dyDescent="0.35">
      <c r="B30" s="124">
        <f>3845+(431*B24)</f>
        <v>7293</v>
      </c>
      <c r="C30" t="s">
        <v>576</v>
      </c>
      <c r="D30" s="30"/>
      <c r="E30" s="30" t="s">
        <v>577</v>
      </c>
      <c r="F30" s="30"/>
      <c r="G30" s="30"/>
      <c r="J30" s="30"/>
      <c r="K30" s="30"/>
      <c r="L30" s="30"/>
    </row>
    <row r="31" spans="1:19" x14ac:dyDescent="0.35">
      <c r="A31" t="s">
        <v>578</v>
      </c>
      <c r="B31" t="s">
        <v>579</v>
      </c>
      <c r="D31" s="263"/>
      <c r="E31" s="30"/>
      <c r="F31" s="256">
        <f>F23*(1-F28)</f>
        <v>9.7752701225418548</v>
      </c>
      <c r="G31" s="30" t="s">
        <v>580</v>
      </c>
      <c r="J31" s="256"/>
      <c r="K31" s="30"/>
      <c r="L31" s="30"/>
    </row>
    <row r="32" spans="1:19" x14ac:dyDescent="0.35">
      <c r="B32" s="124">
        <f>((1-B27)*B30-(1-B26)*B29)*B21</f>
        <v>-178105.10137943603</v>
      </c>
      <c r="C32" t="s">
        <v>581</v>
      </c>
      <c r="D32" s="263"/>
      <c r="E32" s="30"/>
      <c r="F32" s="256">
        <f>F23*(1-F29)</f>
        <v>8.8881975857840807</v>
      </c>
      <c r="G32" s="30" t="s">
        <v>582</v>
      </c>
      <c r="J32" s="256"/>
      <c r="K32" s="30"/>
      <c r="L32" s="30"/>
    </row>
    <row r="33" spans="1:12" x14ac:dyDescent="0.35">
      <c r="A33" t="s">
        <v>583</v>
      </c>
      <c r="B33" t="s">
        <v>584</v>
      </c>
      <c r="D33" s="30"/>
      <c r="E33" s="30"/>
      <c r="F33" s="256">
        <f>F32-F31</f>
        <v>-0.88707253675777409</v>
      </c>
      <c r="G33" s="30" t="s">
        <v>585</v>
      </c>
      <c r="J33" s="256"/>
      <c r="K33" s="30"/>
      <c r="L33" s="30"/>
    </row>
    <row r="34" spans="1:12" x14ac:dyDescent="0.35">
      <c r="B34" s="124">
        <f>B32*1.1</f>
        <v>-195915.61151737964</v>
      </c>
      <c r="C34" t="s">
        <v>586</v>
      </c>
      <c r="D34" s="263"/>
      <c r="E34" s="30" t="s">
        <v>587</v>
      </c>
      <c r="F34" s="30"/>
      <c r="G34" s="30"/>
      <c r="J34" s="30"/>
      <c r="K34" s="30"/>
      <c r="L34" s="30"/>
    </row>
    <row r="35" spans="1:12" x14ac:dyDescent="0.35">
      <c r="D35" s="30"/>
      <c r="E35" s="30"/>
      <c r="F35" s="263">
        <f>F33/365*Inputs!B44</f>
        <v>-28677.961462306121</v>
      </c>
      <c r="G35" s="30" t="s">
        <v>588</v>
      </c>
      <c r="J35" s="263"/>
      <c r="K35" s="30"/>
      <c r="L35" s="30"/>
    </row>
    <row r="36" spans="1:12" x14ac:dyDescent="0.35">
      <c r="B36" s="388"/>
      <c r="D36" s="263"/>
      <c r="E36" s="30"/>
      <c r="F36" s="264">
        <f>F35*365</f>
        <v>-10467455.933741733</v>
      </c>
      <c r="G36" s="30"/>
      <c r="J36" s="264"/>
      <c r="K36" s="30"/>
      <c r="L36" s="30"/>
    </row>
    <row r="37" spans="1:12" x14ac:dyDescent="0.35">
      <c r="A37" t="s">
        <v>589</v>
      </c>
      <c r="D37" s="30"/>
      <c r="E37" s="30"/>
      <c r="F37" s="265"/>
      <c r="G37" s="264"/>
      <c r="H37" s="30"/>
      <c r="I37" s="30"/>
      <c r="J37" s="30"/>
      <c r="K37" s="30"/>
      <c r="L37" s="30"/>
    </row>
    <row r="38" spans="1:12" x14ac:dyDescent="0.35">
      <c r="B38" s="45">
        <f>B34*Deflator!$C$90/Deflator!$C$60</f>
        <v>-350540.26132666174</v>
      </c>
      <c r="C38" t="s">
        <v>586</v>
      </c>
      <c r="D38" s="263"/>
      <c r="E38" s="30"/>
      <c r="F38" s="30"/>
      <c r="G38" s="264"/>
      <c r="H38" s="30"/>
      <c r="I38" s="30"/>
      <c r="J38" s="30"/>
      <c r="K38" s="30"/>
      <c r="L38" s="30"/>
    </row>
    <row r="39" spans="1:12" x14ac:dyDescent="0.35">
      <c r="B39" s="45"/>
      <c r="D39" s="30"/>
      <c r="E39" s="30"/>
      <c r="F39" s="30"/>
      <c r="G39" s="30"/>
      <c r="H39" s="30"/>
      <c r="I39" s="30"/>
      <c r="J39" s="30"/>
      <c r="K39" s="30"/>
      <c r="L39" s="30"/>
    </row>
    <row r="40" spans="1:12" x14ac:dyDescent="0.35">
      <c r="A40" t="s">
        <v>590</v>
      </c>
      <c r="B40" t="s">
        <v>591</v>
      </c>
      <c r="D40" s="264"/>
      <c r="E40" s="30"/>
      <c r="F40" s="30"/>
      <c r="G40" s="30"/>
      <c r="H40" s="30"/>
      <c r="I40" s="30"/>
      <c r="J40" s="30"/>
      <c r="K40" s="30"/>
      <c r="L40" s="30"/>
    </row>
    <row r="41" spans="1:12" x14ac:dyDescent="0.35">
      <c r="B41" s="124">
        <f>B38+B39</f>
        <v>-350540.26132666174</v>
      </c>
      <c r="C41" t="s">
        <v>592</v>
      </c>
      <c r="D41" s="264"/>
      <c r="E41" s="30"/>
      <c r="F41" s="30"/>
      <c r="G41" s="30"/>
      <c r="H41" s="30"/>
      <c r="I41" s="30"/>
      <c r="J41" s="30"/>
      <c r="K41" s="30"/>
      <c r="L41" s="30"/>
    </row>
    <row r="42" spans="1:12" x14ac:dyDescent="0.35">
      <c r="B42" s="124"/>
      <c r="D42" s="30"/>
      <c r="E42" s="30"/>
      <c r="F42" s="30"/>
      <c r="G42" s="30"/>
      <c r="H42" s="30"/>
      <c r="I42" s="30"/>
      <c r="J42" s="30"/>
      <c r="K42" s="30"/>
      <c r="L42" s="30"/>
    </row>
    <row r="43" spans="1:12" x14ac:dyDescent="0.35">
      <c r="B43" s="257" t="s">
        <v>593</v>
      </c>
      <c r="C43" s="210"/>
      <c r="D43" s="263"/>
      <c r="E43" s="30"/>
      <c r="F43" s="30"/>
      <c r="G43" s="30"/>
      <c r="H43" s="30"/>
      <c r="I43" s="30"/>
      <c r="J43" s="30"/>
      <c r="K43" s="30"/>
      <c r="L43" s="30"/>
    </row>
    <row r="44" spans="1:12" x14ac:dyDescent="0.35">
      <c r="B44" s="125" t="s">
        <v>594</v>
      </c>
      <c r="C44" s="125" t="s">
        <v>426</v>
      </c>
      <c r="D44" s="30"/>
      <c r="E44" s="30"/>
      <c r="F44" s="30"/>
      <c r="G44" s="30"/>
      <c r="H44" s="30"/>
      <c r="I44" s="30"/>
      <c r="J44" s="30"/>
      <c r="K44" s="30"/>
      <c r="L44" s="30"/>
    </row>
    <row r="45" spans="1:12" x14ac:dyDescent="0.35">
      <c r="A45" s="126">
        <f>Inputs!B11</f>
        <v>2028</v>
      </c>
      <c r="B45" s="127">
        <f>-(B41+F36)*$B$11</f>
        <v>1622699.4292602593</v>
      </c>
      <c r="C45" s="128">
        <f t="shared" ref="C45:C64" si="0">SUM(B45)/(1+$B$5)^(A45-$B$6)</f>
        <v>1010535.6507280997</v>
      </c>
    </row>
    <row r="46" spans="1:12" x14ac:dyDescent="0.35">
      <c r="A46" s="50">
        <f>A45+1</f>
        <v>2029</v>
      </c>
      <c r="B46" s="127">
        <f>B45</f>
        <v>1622699.4292602593</v>
      </c>
      <c r="C46" s="128">
        <f t="shared" si="0"/>
        <v>944425.84180196247</v>
      </c>
    </row>
    <row r="47" spans="1:12" x14ac:dyDescent="0.35">
      <c r="A47" s="50">
        <f t="shared" ref="A47:A64" si="1">A46+1</f>
        <v>2030</v>
      </c>
      <c r="B47" s="127">
        <f t="shared" ref="B47:B64" si="2">B46</f>
        <v>1622699.4292602593</v>
      </c>
      <c r="C47" s="128">
        <f t="shared" si="0"/>
        <v>882640.97364669375</v>
      </c>
    </row>
    <row r="48" spans="1:12" x14ac:dyDescent="0.35">
      <c r="A48" s="50">
        <f t="shared" si="1"/>
        <v>2031</v>
      </c>
      <c r="B48" s="127">
        <f t="shared" si="2"/>
        <v>1622699.4292602593</v>
      </c>
      <c r="C48" s="128">
        <f t="shared" si="0"/>
        <v>824898.10621186334</v>
      </c>
    </row>
    <row r="49" spans="1:3" x14ac:dyDescent="0.35">
      <c r="A49" s="50">
        <f t="shared" si="1"/>
        <v>2032</v>
      </c>
      <c r="B49" s="127">
        <f t="shared" si="2"/>
        <v>1622699.4292602593</v>
      </c>
      <c r="C49" s="128">
        <f t="shared" si="0"/>
        <v>770932.8095437974</v>
      </c>
    </row>
    <row r="50" spans="1:3" x14ac:dyDescent="0.35">
      <c r="A50" s="50">
        <f t="shared" si="1"/>
        <v>2033</v>
      </c>
      <c r="B50" s="127">
        <f t="shared" si="2"/>
        <v>1622699.4292602593</v>
      </c>
      <c r="C50" s="128">
        <f t="shared" si="0"/>
        <v>720497.95284467062</v>
      </c>
    </row>
    <row r="51" spans="1:3" x14ac:dyDescent="0.35">
      <c r="A51" s="50">
        <f t="shared" si="1"/>
        <v>2034</v>
      </c>
      <c r="B51" s="127">
        <f t="shared" si="2"/>
        <v>1622699.4292602593</v>
      </c>
      <c r="C51" s="128">
        <f t="shared" si="0"/>
        <v>673362.57275202859</v>
      </c>
    </row>
    <row r="52" spans="1:3" x14ac:dyDescent="0.35">
      <c r="A52" s="50">
        <f t="shared" si="1"/>
        <v>2035</v>
      </c>
      <c r="B52" s="127">
        <f t="shared" si="2"/>
        <v>1622699.4292602593</v>
      </c>
      <c r="C52" s="128">
        <f t="shared" si="0"/>
        <v>629310.81565610156</v>
      </c>
    </row>
    <row r="53" spans="1:3" x14ac:dyDescent="0.35">
      <c r="A53" s="50">
        <f t="shared" si="1"/>
        <v>2036</v>
      </c>
      <c r="B53" s="127">
        <f t="shared" si="2"/>
        <v>1622699.4292602593</v>
      </c>
      <c r="C53" s="128">
        <f t="shared" si="0"/>
        <v>588140.94921130978</v>
      </c>
    </row>
    <row r="54" spans="1:3" x14ac:dyDescent="0.35">
      <c r="A54" s="50">
        <f t="shared" si="1"/>
        <v>2037</v>
      </c>
      <c r="B54" s="127">
        <f t="shared" si="2"/>
        <v>1622699.4292602593</v>
      </c>
      <c r="C54" s="128">
        <f t="shared" si="0"/>
        <v>549664.43851524289</v>
      </c>
    </row>
    <row r="55" spans="1:3" x14ac:dyDescent="0.35">
      <c r="A55" s="50">
        <f t="shared" si="1"/>
        <v>2038</v>
      </c>
      <c r="B55" s="127">
        <f t="shared" si="2"/>
        <v>1622699.4292602593</v>
      </c>
      <c r="C55" s="128">
        <f t="shared" si="0"/>
        <v>513705.082724526</v>
      </c>
    </row>
    <row r="56" spans="1:3" x14ac:dyDescent="0.35">
      <c r="A56" s="50">
        <f t="shared" si="1"/>
        <v>2039</v>
      </c>
      <c r="B56" s="127">
        <f t="shared" si="2"/>
        <v>1622699.4292602593</v>
      </c>
      <c r="C56" s="128">
        <f t="shared" si="0"/>
        <v>480098.20815376262</v>
      </c>
    </row>
    <row r="57" spans="1:3" x14ac:dyDescent="0.35">
      <c r="A57" s="50">
        <f t="shared" si="1"/>
        <v>2040</v>
      </c>
      <c r="B57" s="127">
        <f t="shared" si="2"/>
        <v>1622699.4292602593</v>
      </c>
      <c r="C57" s="128">
        <f t="shared" si="0"/>
        <v>448689.91416239494</v>
      </c>
    </row>
    <row r="58" spans="1:3" x14ac:dyDescent="0.35">
      <c r="A58" s="50">
        <f t="shared" si="1"/>
        <v>2041</v>
      </c>
      <c r="B58" s="127">
        <f t="shared" si="2"/>
        <v>1622699.4292602593</v>
      </c>
      <c r="C58" s="128">
        <f t="shared" si="0"/>
        <v>419336.36837607005</v>
      </c>
    </row>
    <row r="59" spans="1:3" x14ac:dyDescent="0.35">
      <c r="A59" s="50">
        <f t="shared" si="1"/>
        <v>2042</v>
      </c>
      <c r="B59" s="127">
        <f t="shared" si="2"/>
        <v>1622699.4292602593</v>
      </c>
      <c r="C59" s="128">
        <f t="shared" si="0"/>
        <v>391903.14801501873</v>
      </c>
    </row>
    <row r="60" spans="1:3" x14ac:dyDescent="0.35">
      <c r="A60" s="50">
        <f t="shared" si="1"/>
        <v>2043</v>
      </c>
      <c r="B60" s="127">
        <f t="shared" si="2"/>
        <v>1622699.4292602593</v>
      </c>
      <c r="C60" s="128">
        <f t="shared" si="0"/>
        <v>366264.62431310164</v>
      </c>
    </row>
    <row r="61" spans="1:3" x14ac:dyDescent="0.35">
      <c r="A61" s="50">
        <f t="shared" si="1"/>
        <v>2044</v>
      </c>
      <c r="B61" s="127">
        <f t="shared" si="2"/>
        <v>1622699.4292602593</v>
      </c>
      <c r="C61" s="128">
        <f t="shared" si="0"/>
        <v>342303.38720850617</v>
      </c>
    </row>
    <row r="62" spans="1:3" x14ac:dyDescent="0.35">
      <c r="A62" s="50">
        <f t="shared" si="1"/>
        <v>2045</v>
      </c>
      <c r="B62" s="127">
        <f t="shared" si="2"/>
        <v>1622699.4292602593</v>
      </c>
      <c r="C62" s="128">
        <f t="shared" si="0"/>
        <v>319909.70767150109</v>
      </c>
    </row>
    <row r="63" spans="1:3" x14ac:dyDescent="0.35">
      <c r="A63" s="50">
        <f t="shared" si="1"/>
        <v>2046</v>
      </c>
      <c r="B63" s="127">
        <f t="shared" si="2"/>
        <v>1622699.4292602593</v>
      </c>
      <c r="C63" s="128">
        <f t="shared" si="0"/>
        <v>298981.03520701034</v>
      </c>
    </row>
    <row r="64" spans="1:3" x14ac:dyDescent="0.35">
      <c r="A64" s="50">
        <f t="shared" si="1"/>
        <v>2047</v>
      </c>
      <c r="B64" s="127">
        <f t="shared" si="2"/>
        <v>1622699.4292602593</v>
      </c>
      <c r="C64" s="128">
        <f t="shared" si="0"/>
        <v>279421.52823085082</v>
      </c>
    </row>
    <row r="65" spans="1:3" x14ac:dyDescent="0.35">
      <c r="A65" s="129" t="s">
        <v>176</v>
      </c>
      <c r="B65" s="130">
        <f>SUM(B45:B64)</f>
        <v>32453988.585205171</v>
      </c>
      <c r="C65" s="130">
        <f>SUM(C45:C64)</f>
        <v>11455023.114974514</v>
      </c>
    </row>
    <row r="66" spans="1:3" x14ac:dyDescent="0.35">
      <c r="C66" s="210"/>
    </row>
  </sheetData>
  <sheetProtection algorithmName="SHA-512" hashValue="0kqMd+dY8y4yRi5E9/X/bB8Hy8dzwwcNunOsIepqaTB2MKshO8MRg9bJYBiTtfbuS56YqKm+YwK7Ixgbb+ucWg==" saltValue="jeWSWwL2219N71jvrbgGVA==" spinCount="100000" sheet="1" objects="1" scenarios="1"/>
  <pageMargins left="0.7" right="0.7" top="0.75" bottom="0.75" header="0.3" footer="0.3"/>
  <pageSetup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1D5FC-7181-4324-A9B2-9E73D44038FF}">
  <dimension ref="A1:Z59"/>
  <sheetViews>
    <sheetView topLeftCell="A12" zoomScale="70" zoomScaleNormal="70" workbookViewId="0">
      <selection activeCell="E12" sqref="E12"/>
    </sheetView>
  </sheetViews>
  <sheetFormatPr defaultColWidth="9.26953125" defaultRowHeight="13" x14ac:dyDescent="0.3"/>
  <cols>
    <col min="1" max="1" width="45.54296875" style="98" bestFit="1" customWidth="1"/>
    <col min="2" max="2" width="13" style="98" customWidth="1"/>
    <col min="3" max="5" width="13.54296875" style="98" customWidth="1"/>
    <col min="6" max="6" width="11.54296875" style="98" customWidth="1"/>
    <col min="7" max="7" width="9.7265625" style="98" customWidth="1"/>
    <col min="8" max="9" width="13.26953125" style="98" customWidth="1"/>
    <col min="10" max="10" width="10" style="98" customWidth="1"/>
    <col min="11" max="11" width="10.26953125" style="98" customWidth="1"/>
    <col min="12" max="12" width="11.7265625" style="98" customWidth="1"/>
    <col min="13" max="13" width="10.453125" style="98" customWidth="1"/>
    <col min="14" max="14" width="11" style="98" customWidth="1"/>
    <col min="15" max="15" width="10.54296875" style="98" customWidth="1"/>
    <col min="16" max="16" width="10.26953125" style="98" customWidth="1"/>
    <col min="17" max="17" width="10" style="98" customWidth="1"/>
    <col min="18" max="18" width="10.26953125" style="98" customWidth="1"/>
    <col min="19" max="16384" width="9.26953125" style="98"/>
  </cols>
  <sheetData>
    <row r="1" spans="1:26" x14ac:dyDescent="0.3">
      <c r="A1" s="400" t="s">
        <v>859</v>
      </c>
    </row>
    <row r="2" spans="1:26" x14ac:dyDescent="0.3">
      <c r="A2" s="98" t="s">
        <v>385</v>
      </c>
      <c r="B2" s="352">
        <f>Inputs!B3</f>
        <v>7.0000000000000007E-2</v>
      </c>
    </row>
    <row r="3" spans="1:26" x14ac:dyDescent="0.3">
      <c r="A3" s="98" t="s">
        <v>597</v>
      </c>
      <c r="B3" s="352">
        <f>Inputs!B4</f>
        <v>0.03</v>
      </c>
      <c r="J3" s="353"/>
    </row>
    <row r="4" spans="1:26" x14ac:dyDescent="0.3">
      <c r="A4" s="98" t="s">
        <v>383</v>
      </c>
      <c r="B4" s="98">
        <f>Inputs!B10</f>
        <v>2021</v>
      </c>
    </row>
    <row r="5" spans="1:26" x14ac:dyDescent="0.3">
      <c r="A5" s="98" t="s">
        <v>16</v>
      </c>
      <c r="B5" s="98">
        <f>Inputs!B11</f>
        <v>2028</v>
      </c>
    </row>
    <row r="6" spans="1:26" x14ac:dyDescent="0.3">
      <c r="A6" s="98" t="s">
        <v>18</v>
      </c>
      <c r="B6" s="354">
        <f>Inputs!B13</f>
        <v>0.06</v>
      </c>
    </row>
    <row r="7" spans="1:26" x14ac:dyDescent="0.3">
      <c r="A7" s="339" t="s">
        <v>598</v>
      </c>
      <c r="B7" s="152">
        <f>Inputs!B57</f>
        <v>3.79</v>
      </c>
      <c r="C7" s="339"/>
    </row>
    <row r="8" spans="1:26" ht="15" x14ac:dyDescent="0.3">
      <c r="A8" s="339" t="s">
        <v>77</v>
      </c>
      <c r="B8" s="152">
        <f>Inputs!B58</f>
        <v>2443.9299999999998</v>
      </c>
      <c r="C8" s="339"/>
    </row>
    <row r="9" spans="1:26" x14ac:dyDescent="0.3">
      <c r="A9" s="98" t="str">
        <f>Inputs!A59</f>
        <v xml:space="preserve">Heavy Duty (Class VII) Idle Emissions Rates g/hr. NOx </v>
      </c>
      <c r="B9" s="98">
        <f>Inputs!B59</f>
        <v>30.343</v>
      </c>
    </row>
    <row r="10" spans="1:26" x14ac:dyDescent="0.3">
      <c r="A10" s="98" t="str">
        <f>Inputs!A61</f>
        <v>Heavy Duty (Class VII) Idle Emissions Rates g/hr. PM2.5</v>
      </c>
      <c r="B10" s="98">
        <f>Inputs!B61</f>
        <v>1.093</v>
      </c>
    </row>
    <row r="11" spans="1:26" x14ac:dyDescent="0.3">
      <c r="A11" s="98" t="str">
        <f>Inputs!A60</f>
        <v>Heavy Duty (Class VII) Idle Emissions Rates g/hr. CO2</v>
      </c>
      <c r="B11" s="98">
        <f>Inputs!B60</f>
        <v>19.055</v>
      </c>
    </row>
    <row r="12" spans="1:26" x14ac:dyDescent="0.3">
      <c r="A12" s="98" t="s">
        <v>595</v>
      </c>
      <c r="B12" s="355">
        <v>1000000</v>
      </c>
    </row>
    <row r="13" spans="1:26" x14ac:dyDescent="0.3">
      <c r="B13" s="355"/>
    </row>
    <row r="14" spans="1:26" ht="13.5" thickBot="1" x14ac:dyDescent="0.35">
      <c r="S14" s="356"/>
      <c r="T14" s="357"/>
      <c r="U14" s="356"/>
      <c r="V14" s="357"/>
    </row>
    <row r="15" spans="1:26" ht="39" x14ac:dyDescent="0.3">
      <c r="B15" s="358" t="s">
        <v>145</v>
      </c>
      <c r="C15" s="359" t="s">
        <v>599</v>
      </c>
      <c r="D15" s="359" t="s">
        <v>600</v>
      </c>
      <c r="E15" s="359" t="s">
        <v>601</v>
      </c>
      <c r="F15" s="359" t="s">
        <v>602</v>
      </c>
      <c r="G15" s="359" t="s">
        <v>603</v>
      </c>
      <c r="H15" s="360" t="s">
        <v>604</v>
      </c>
      <c r="I15" s="360" t="s">
        <v>605</v>
      </c>
      <c r="J15" s="359" t="s">
        <v>606</v>
      </c>
      <c r="K15" s="360" t="s">
        <v>607</v>
      </c>
      <c r="L15" s="359" t="s">
        <v>596</v>
      </c>
      <c r="M15" s="359" t="s">
        <v>608</v>
      </c>
      <c r="N15" s="359" t="s">
        <v>609</v>
      </c>
      <c r="O15" s="359" t="s">
        <v>610</v>
      </c>
      <c r="P15" s="361" t="s">
        <v>611</v>
      </c>
      <c r="X15" s="356"/>
      <c r="Z15" s="356"/>
    </row>
    <row r="16" spans="1:26" x14ac:dyDescent="0.3">
      <c r="B16" s="362">
        <f>'Maint Delays Avoidance'!B21</f>
        <v>2028</v>
      </c>
      <c r="C16" s="363">
        <f>TT_Savings!D17/TT_Savings!$B$11</f>
        <v>210726.84520452749</v>
      </c>
      <c r="D16" s="363">
        <f>'Maint Delays Avoidance'!E21</f>
        <v>42592.056043389137</v>
      </c>
      <c r="E16" s="363">
        <f>'DMS Delay Avoidance'!F19/'DMS Delay Avoidance'!$C$14</f>
        <v>228077.02210317508</v>
      </c>
      <c r="F16" s="363">
        <f>SignalCoord!E19</f>
        <v>9985.6623511553098</v>
      </c>
      <c r="G16" s="363">
        <f t="shared" ref="G16:G35" si="0">SUM(C16:F16)</f>
        <v>491381.58570224699</v>
      </c>
      <c r="H16" s="147">
        <f>SUM(G16/$B$12)*$B$7</f>
        <v>1.8623362098115162</v>
      </c>
      <c r="I16" s="150">
        <f>VLOOKUP(B16,'Emissions Rates'!E91:I120,2)</f>
        <v>18200</v>
      </c>
      <c r="J16" s="150">
        <f>SUM(I16*H16)</f>
        <v>33894.519018569597</v>
      </c>
      <c r="K16" s="351">
        <f>SUM(G16/$B$12)*$B$8</f>
        <v>1200.9021987452925</v>
      </c>
      <c r="L16" s="150">
        <f>VLOOKUP(B16,'Emissions Rates'!E91:I120,5)</f>
        <v>62</v>
      </c>
      <c r="M16" s="150">
        <f>SUM(L16*K16)</f>
        <v>74455.93632220813</v>
      </c>
      <c r="N16" s="150">
        <f t="shared" ref="N16:N35" si="1">ROUND(M16/((1+B$3)^($B16-$B$4)),0)</f>
        <v>60539</v>
      </c>
      <c r="O16" s="150">
        <f t="shared" ref="O16:O35" si="2">ROUND(J16/((1+B$2)^($B16-$B$4)),0)</f>
        <v>21108</v>
      </c>
      <c r="P16" s="364">
        <f>SUM(N16:O16)</f>
        <v>81647</v>
      </c>
      <c r="X16" s="356"/>
      <c r="Z16" s="356"/>
    </row>
    <row r="17" spans="2:26" x14ac:dyDescent="0.3">
      <c r="B17" s="362">
        <f>'Maint Delays Avoidance'!B22</f>
        <v>2029</v>
      </c>
      <c r="C17" s="363">
        <f>TT_Savings!D18/TT_Savings!$B$11</f>
        <v>214941.38210861807</v>
      </c>
      <c r="D17" s="363">
        <f>'Maint Delays Avoidance'!E22</f>
        <v>43443.897164256916</v>
      </c>
      <c r="E17" s="363">
        <f>'DMS Delay Avoidance'!F20/'DMS Delay Avoidance'!$C$14</f>
        <v>232638.56254523862</v>
      </c>
      <c r="F17" s="363">
        <f>SignalCoord!E20</f>
        <v>10185.375598178418</v>
      </c>
      <c r="G17" s="363">
        <f t="shared" si="0"/>
        <v>501209.217416292</v>
      </c>
      <c r="H17" s="147">
        <f t="shared" ref="H17:H35" si="3">SUM(G17/$B$12)*$B$7</f>
        <v>1.8995829340077466</v>
      </c>
      <c r="I17" s="150">
        <f>VLOOKUP(B17,'Emissions Rates'!E92:I121,2)</f>
        <v>18600</v>
      </c>
      <c r="J17" s="150">
        <f t="shared" ref="J17:J35" si="4">SUM(I17*H17)</f>
        <v>35332.242572544084</v>
      </c>
      <c r="K17" s="351">
        <f t="shared" ref="K17:K35" si="5">SUM(G17/$B$12)*$B$8</f>
        <v>1224.9202427201983</v>
      </c>
      <c r="L17" s="150">
        <f>VLOOKUP(B17,'Emissions Rates'!E92:I121,5)</f>
        <v>63</v>
      </c>
      <c r="M17" s="150">
        <f t="shared" ref="M17:M35" si="6">SUM(L17*K17)</f>
        <v>77169.975291372495</v>
      </c>
      <c r="N17" s="150">
        <f t="shared" si="1"/>
        <v>60919</v>
      </c>
      <c r="O17" s="150">
        <f t="shared" si="2"/>
        <v>20564</v>
      </c>
      <c r="P17" s="364">
        <f t="shared" ref="P17:P35" si="7">SUM(N17:O17)</f>
        <v>81483</v>
      </c>
      <c r="X17" s="356"/>
      <c r="Z17" s="356"/>
    </row>
    <row r="18" spans="2:26" x14ac:dyDescent="0.3">
      <c r="B18" s="362">
        <f>'Maint Delays Avoidance'!B23</f>
        <v>2030</v>
      </c>
      <c r="C18" s="363">
        <f>TT_Savings!D19/TT_Savings!$B$11</f>
        <v>219240.20975079044</v>
      </c>
      <c r="D18" s="363">
        <f>'Maint Delays Avoidance'!E23</f>
        <v>44312.775107542053</v>
      </c>
      <c r="E18" s="363">
        <f>'DMS Delay Avoidance'!F21/'DMS Delay Avoidance'!$C$14</f>
        <v>237291.33379614339</v>
      </c>
      <c r="F18" s="363">
        <f>SignalCoord!E21</f>
        <v>10389.083110141986</v>
      </c>
      <c r="G18" s="363">
        <f t="shared" si="0"/>
        <v>511233.40176461783</v>
      </c>
      <c r="H18" s="147">
        <f t="shared" si="3"/>
        <v>1.9375745926879016</v>
      </c>
      <c r="I18" s="150">
        <f>VLOOKUP(B18,'Emissions Rates'!E93:I122,2)</f>
        <v>18900</v>
      </c>
      <c r="J18" s="150">
        <f t="shared" si="4"/>
        <v>36620.159801801339</v>
      </c>
      <c r="K18" s="351">
        <f t="shared" si="5"/>
        <v>1249.4186475746023</v>
      </c>
      <c r="L18" s="150">
        <f>VLOOKUP(B18,'Emissions Rates'!E93:I122,5)</f>
        <v>65</v>
      </c>
      <c r="M18" s="150">
        <f t="shared" si="6"/>
        <v>81212.212092349146</v>
      </c>
      <c r="N18" s="150">
        <f t="shared" si="1"/>
        <v>62242</v>
      </c>
      <c r="O18" s="150">
        <f t="shared" si="2"/>
        <v>19919</v>
      </c>
      <c r="P18" s="364">
        <f t="shared" si="7"/>
        <v>82161</v>
      </c>
      <c r="X18" s="356"/>
      <c r="Z18" s="356"/>
    </row>
    <row r="19" spans="2:26" x14ac:dyDescent="0.3">
      <c r="B19" s="362">
        <f>'Maint Delays Avoidance'!B24</f>
        <v>2031</v>
      </c>
      <c r="C19" s="363">
        <f>TT_Savings!D20/TT_Savings!$B$11</f>
        <v>223625.01394580622</v>
      </c>
      <c r="D19" s="363">
        <f>'Maint Delays Avoidance'!E24</f>
        <v>45199.030609692905</v>
      </c>
      <c r="E19" s="363">
        <f>'DMS Delay Avoidance'!F22/'DMS Delay Avoidance'!$C$14</f>
        <v>242037.16047206623</v>
      </c>
      <c r="F19" s="363">
        <f>SignalCoord!E22</f>
        <v>10596.864772344825</v>
      </c>
      <c r="G19" s="363">
        <f t="shared" si="0"/>
        <v>521458.06979991018</v>
      </c>
      <c r="H19" s="147">
        <f t="shared" si="3"/>
        <v>1.9763260845416595</v>
      </c>
      <c r="I19" s="150">
        <f>VLOOKUP(B19,'Emissions Rates'!E94:I123,2)</f>
        <v>18900</v>
      </c>
      <c r="J19" s="150">
        <f t="shared" si="4"/>
        <v>37352.562997837362</v>
      </c>
      <c r="K19" s="351">
        <f t="shared" si="5"/>
        <v>1274.4070205260944</v>
      </c>
      <c r="L19" s="150">
        <f>VLOOKUP(B19,'Emissions Rates'!E94:I123,5)</f>
        <v>66</v>
      </c>
      <c r="M19" s="150">
        <f t="shared" si="6"/>
        <v>84110.863354722227</v>
      </c>
      <c r="N19" s="150">
        <f t="shared" si="1"/>
        <v>62586</v>
      </c>
      <c r="O19" s="150">
        <f t="shared" si="2"/>
        <v>18988</v>
      </c>
      <c r="P19" s="364">
        <f t="shared" si="7"/>
        <v>81574</v>
      </c>
      <c r="X19" s="356"/>
      <c r="Z19" s="356"/>
    </row>
    <row r="20" spans="2:26" x14ac:dyDescent="0.3">
      <c r="B20" s="362">
        <f>'Maint Delays Avoidance'!B25</f>
        <v>2032</v>
      </c>
      <c r="C20" s="363">
        <f>TT_Savings!D21/TT_Savings!$B$11</f>
        <v>228097.51422472234</v>
      </c>
      <c r="D20" s="363">
        <f>'Maint Delays Avoidance'!E25</f>
        <v>46103.011221886758</v>
      </c>
      <c r="E20" s="363">
        <f>'DMS Delay Avoidance'!F23/'DMS Delay Avoidance'!$C$14</f>
        <v>246877.9036815076</v>
      </c>
      <c r="F20" s="363">
        <f>SignalCoord!E23</f>
        <v>10808.802067791721</v>
      </c>
      <c r="G20" s="363">
        <f t="shared" si="0"/>
        <v>531887.23119590839</v>
      </c>
      <c r="H20" s="147">
        <f t="shared" si="3"/>
        <v>2.0158526062324928</v>
      </c>
      <c r="I20" s="150">
        <f>VLOOKUP(B20,'Emissions Rates'!E95:I124,2)</f>
        <v>18900</v>
      </c>
      <c r="J20" s="150">
        <f t="shared" si="4"/>
        <v>38099.614257794114</v>
      </c>
      <c r="K20" s="351">
        <f t="shared" si="5"/>
        <v>1299.8951609366163</v>
      </c>
      <c r="L20" s="150">
        <f>VLOOKUP(B20,'Emissions Rates'!E95:I124,5)</f>
        <v>67</v>
      </c>
      <c r="M20" s="150">
        <f t="shared" si="6"/>
        <v>87092.975782753289</v>
      </c>
      <c r="N20" s="150">
        <f t="shared" si="1"/>
        <v>62918</v>
      </c>
      <c r="O20" s="150">
        <f t="shared" si="2"/>
        <v>18101</v>
      </c>
      <c r="P20" s="364">
        <f t="shared" si="7"/>
        <v>81019</v>
      </c>
      <c r="X20" s="356"/>
      <c r="Z20" s="356"/>
    </row>
    <row r="21" spans="2:26" x14ac:dyDescent="0.3">
      <c r="B21" s="362">
        <f>'Maint Delays Avoidance'!B26</f>
        <v>2033</v>
      </c>
      <c r="C21" s="363">
        <f>TT_Savings!D22/TT_Savings!$B$11</f>
        <v>232659.46450921684</v>
      </c>
      <c r="D21" s="363">
        <f>'Maint Delays Avoidance'!E26</f>
        <v>47025.071446324502</v>
      </c>
      <c r="E21" s="363">
        <f>'DMS Delay Avoidance'!F24/'DMS Delay Avoidance'!$C$14</f>
        <v>251815.46175513772</v>
      </c>
      <c r="F21" s="363">
        <f>SignalCoord!E24</f>
        <v>11024.978109147556</v>
      </c>
      <c r="G21" s="363">
        <f t="shared" si="0"/>
        <v>542524.97581982659</v>
      </c>
      <c r="H21" s="147">
        <f t="shared" si="3"/>
        <v>2.0561696583571427</v>
      </c>
      <c r="I21" s="150">
        <f>VLOOKUP(B21,'Emissions Rates'!E96:I125,2)</f>
        <v>18900</v>
      </c>
      <c r="J21" s="150">
        <f t="shared" si="4"/>
        <v>38861.606542949994</v>
      </c>
      <c r="K21" s="351">
        <f t="shared" si="5"/>
        <v>1325.8930641553488</v>
      </c>
      <c r="L21" s="150">
        <f>VLOOKUP(B21,'Emissions Rates'!E96:I125,5)</f>
        <v>68</v>
      </c>
      <c r="M21" s="150">
        <f t="shared" si="6"/>
        <v>90160.728362563721</v>
      </c>
      <c r="N21" s="150">
        <f t="shared" si="1"/>
        <v>63237</v>
      </c>
      <c r="O21" s="150">
        <f t="shared" si="2"/>
        <v>17255</v>
      </c>
      <c r="P21" s="364">
        <f t="shared" si="7"/>
        <v>80492</v>
      </c>
      <c r="X21" s="356"/>
      <c r="Z21" s="356"/>
    </row>
    <row r="22" spans="2:26" x14ac:dyDescent="0.3">
      <c r="B22" s="362">
        <f>'Maint Delays Avoidance'!B27</f>
        <v>2034</v>
      </c>
      <c r="C22" s="363">
        <f>TT_Savings!D23/TT_Savings!$B$11</f>
        <v>237312.65379940116</v>
      </c>
      <c r="D22" s="363">
        <f>'Maint Delays Avoidance'!E27</f>
        <v>47965.572875250989</v>
      </c>
      <c r="E22" s="363">
        <f>'DMS Delay Avoidance'!F25/'DMS Delay Avoidance'!$C$14</f>
        <v>256851.77099024047</v>
      </c>
      <c r="F22" s="363">
        <f>SignalCoord!E25</f>
        <v>11245.477671330507</v>
      </c>
      <c r="G22" s="363">
        <f t="shared" si="0"/>
        <v>553375.47533622314</v>
      </c>
      <c r="H22" s="147">
        <f t="shared" si="3"/>
        <v>2.0972930515242858</v>
      </c>
      <c r="I22" s="150">
        <f>VLOOKUP(B22,'Emissions Rates'!E97:I126,2)</f>
        <v>18900</v>
      </c>
      <c r="J22" s="150">
        <f t="shared" si="4"/>
        <v>39638.838673809005</v>
      </c>
      <c r="K22" s="351">
        <f t="shared" si="5"/>
        <v>1352.4109254384557</v>
      </c>
      <c r="L22" s="150">
        <f>VLOOKUP(B22,'Emissions Rates'!E97:I126,5)</f>
        <v>69</v>
      </c>
      <c r="M22" s="150">
        <f t="shared" si="6"/>
        <v>93316.353855253445</v>
      </c>
      <c r="N22" s="150">
        <f t="shared" si="1"/>
        <v>63544</v>
      </c>
      <c r="O22" s="150">
        <f t="shared" si="2"/>
        <v>16449</v>
      </c>
      <c r="P22" s="364">
        <f t="shared" si="7"/>
        <v>79993</v>
      </c>
      <c r="X22" s="356"/>
      <c r="Z22" s="356"/>
    </row>
    <row r="23" spans="2:26" x14ac:dyDescent="0.3">
      <c r="B23" s="362">
        <f>'Maint Delays Avoidance'!B28</f>
        <v>2035</v>
      </c>
      <c r="C23" s="363">
        <f>TT_Savings!D24/TT_Savings!$B$11</f>
        <v>242058.90687538919</v>
      </c>
      <c r="D23" s="363">
        <f>'Maint Delays Avoidance'!E28</f>
        <v>48924.884332756003</v>
      </c>
      <c r="E23" s="363">
        <f>'DMS Delay Avoidance'!F26/'DMS Delay Avoidance'!$C$14</f>
        <v>261988.8064100453</v>
      </c>
      <c r="F23" s="363">
        <f>SignalCoord!E26</f>
        <v>11470.387224757116</v>
      </c>
      <c r="G23" s="363">
        <f t="shared" si="0"/>
        <v>564442.98484294768</v>
      </c>
      <c r="H23" s="147">
        <f t="shared" si="3"/>
        <v>2.1392389125547715</v>
      </c>
      <c r="I23" s="150">
        <f>VLOOKUP(B23,'Emissions Rates'!E98:I127,2)</f>
        <v>18900</v>
      </c>
      <c r="J23" s="150">
        <f t="shared" si="4"/>
        <v>40431.615447285185</v>
      </c>
      <c r="K23" s="351">
        <f t="shared" si="5"/>
        <v>1379.4591439472249</v>
      </c>
      <c r="L23" s="150">
        <f>VLOOKUP(B23,'Emissions Rates'!E98:I127,5)</f>
        <v>70</v>
      </c>
      <c r="M23" s="150">
        <f t="shared" si="6"/>
        <v>96562.140076305746</v>
      </c>
      <c r="N23" s="150">
        <f t="shared" si="1"/>
        <v>63839</v>
      </c>
      <c r="O23" s="150">
        <f t="shared" si="2"/>
        <v>15680</v>
      </c>
      <c r="P23" s="364">
        <f t="shared" si="7"/>
        <v>79519</v>
      </c>
      <c r="X23" s="356"/>
      <c r="Z23" s="356"/>
    </row>
    <row r="24" spans="2:26" x14ac:dyDescent="0.3">
      <c r="B24" s="362">
        <f>'Maint Delays Avoidance'!B29</f>
        <v>2036</v>
      </c>
      <c r="C24" s="363">
        <f>TT_Savings!D25/TT_Savings!$B$11</f>
        <v>246900.08501289695</v>
      </c>
      <c r="D24" s="363">
        <f>'Maint Delays Avoidance'!E29</f>
        <v>49903.382019411125</v>
      </c>
      <c r="E24" s="363">
        <f>'DMS Delay Avoidance'!F27/'DMS Delay Avoidance'!$C$14</f>
        <v>267228.58253824618</v>
      </c>
      <c r="F24" s="363">
        <f>SignalCoord!E27</f>
        <v>11699.79496925226</v>
      </c>
      <c r="G24" s="363">
        <f t="shared" si="0"/>
        <v>575731.84453980648</v>
      </c>
      <c r="H24" s="147">
        <f t="shared" si="3"/>
        <v>2.1820236908058668</v>
      </c>
      <c r="I24" s="150">
        <f>VLOOKUP(B24,'Emissions Rates'!E99:I128,2)</f>
        <v>18900</v>
      </c>
      <c r="J24" s="150">
        <f t="shared" si="4"/>
        <v>41240.247756230885</v>
      </c>
      <c r="K24" s="351">
        <f t="shared" si="5"/>
        <v>1407.0483268261692</v>
      </c>
      <c r="L24" s="150">
        <f>VLOOKUP(B24,'Emissions Rates'!E99:I128,5)</f>
        <v>72</v>
      </c>
      <c r="M24" s="150">
        <f t="shared" si="6"/>
        <v>101307.47953148418</v>
      </c>
      <c r="N24" s="150">
        <f t="shared" si="1"/>
        <v>65025</v>
      </c>
      <c r="O24" s="150">
        <f t="shared" si="2"/>
        <v>14947</v>
      </c>
      <c r="P24" s="364">
        <f t="shared" si="7"/>
        <v>79972</v>
      </c>
      <c r="X24" s="356"/>
      <c r="Z24" s="356"/>
    </row>
    <row r="25" spans="2:26" x14ac:dyDescent="0.3">
      <c r="B25" s="362">
        <f>'Maint Delays Avoidance'!B30</f>
        <v>2037</v>
      </c>
      <c r="C25" s="363">
        <f>TT_Savings!D26/TT_Savings!$B$11</f>
        <v>251838.08671315492</v>
      </c>
      <c r="D25" s="363">
        <f>'Maint Delays Avoidance'!E30</f>
        <v>50901.449659799349</v>
      </c>
      <c r="E25" s="363">
        <f>'DMS Delay Avoidance'!F28/'DMS Delay Avoidance'!$C$14</f>
        <v>272573.15418901114</v>
      </c>
      <c r="F25" s="363">
        <f>SignalCoord!E28</f>
        <v>11933.790868637303</v>
      </c>
      <c r="G25" s="363">
        <f t="shared" si="0"/>
        <v>587246.48143060261</v>
      </c>
      <c r="H25" s="147">
        <f t="shared" si="3"/>
        <v>2.2256641646219841</v>
      </c>
      <c r="I25" s="150">
        <f>VLOOKUP(B25,'Emissions Rates'!E100:I129,2)</f>
        <v>18900</v>
      </c>
      <c r="J25" s="150">
        <f t="shared" si="4"/>
        <v>42065.0527113555</v>
      </c>
      <c r="K25" s="351">
        <f t="shared" si="5"/>
        <v>1435.1892933626928</v>
      </c>
      <c r="L25" s="150">
        <f>VLOOKUP(B25,'Emissions Rates'!E100:I129,5)</f>
        <v>73</v>
      </c>
      <c r="M25" s="150">
        <f t="shared" si="6"/>
        <v>104768.81841547658</v>
      </c>
      <c r="N25" s="150">
        <f t="shared" si="1"/>
        <v>65288</v>
      </c>
      <c r="O25" s="150">
        <f t="shared" si="2"/>
        <v>14249</v>
      </c>
      <c r="P25" s="364">
        <f t="shared" si="7"/>
        <v>79537</v>
      </c>
      <c r="X25" s="356"/>
      <c r="Z25" s="356"/>
    </row>
    <row r="26" spans="2:26" x14ac:dyDescent="0.3">
      <c r="B26" s="362">
        <f>'Maint Delays Avoidance'!B31</f>
        <v>2038</v>
      </c>
      <c r="C26" s="363">
        <f>TT_Savings!D27/TT_Savings!$B$11</f>
        <v>256874.84844741804</v>
      </c>
      <c r="D26" s="363">
        <f>'Maint Delays Avoidance'!E31</f>
        <v>51919.478652995334</v>
      </c>
      <c r="E26" s="363">
        <f>'DMS Delay Avoidance'!F29/'DMS Delay Avoidance'!$C$14</f>
        <v>278024.61727279139</v>
      </c>
      <c r="F26" s="363">
        <f>SignalCoord!E29</f>
        <v>12172.46668601005</v>
      </c>
      <c r="G26" s="363">
        <f t="shared" si="0"/>
        <v>598991.41105921485</v>
      </c>
      <c r="H26" s="147">
        <f t="shared" si="3"/>
        <v>2.2701774479144241</v>
      </c>
      <c r="I26" s="150">
        <f>VLOOKUP(B26,'Emissions Rates'!E101:I130,2)</f>
        <v>18900</v>
      </c>
      <c r="J26" s="150">
        <f t="shared" si="4"/>
        <v>42906.353765582615</v>
      </c>
      <c r="K26" s="351">
        <f t="shared" si="5"/>
        <v>1463.8930792299468</v>
      </c>
      <c r="L26" s="150">
        <f>VLOOKUP(B26,'Emissions Rates'!E101:I130,5)</f>
        <v>74</v>
      </c>
      <c r="M26" s="150">
        <f t="shared" si="6"/>
        <v>108328.08786301606</v>
      </c>
      <c r="N26" s="150">
        <f t="shared" si="1"/>
        <v>65540</v>
      </c>
      <c r="O26" s="150">
        <f t="shared" si="2"/>
        <v>13583</v>
      </c>
      <c r="P26" s="364">
        <f t="shared" si="7"/>
        <v>79123</v>
      </c>
      <c r="X26" s="356"/>
      <c r="Z26" s="356"/>
    </row>
    <row r="27" spans="2:26" x14ac:dyDescent="0.3">
      <c r="B27" s="362">
        <f>'Maint Delays Avoidance'!B32</f>
        <v>2039</v>
      </c>
      <c r="C27" s="363">
        <f>TT_Savings!D28/TT_Savings!$B$11</f>
        <v>262012.34541636638</v>
      </c>
      <c r="D27" s="363">
        <f>'Maint Delays Avoidance'!E32</f>
        <v>52957.868226055245</v>
      </c>
      <c r="E27" s="363">
        <f>'DMS Delay Avoidance'!F30/'DMS Delay Avoidance'!$C$14</f>
        <v>283585.1096182472</v>
      </c>
      <c r="F27" s="363">
        <f>SignalCoord!E30</f>
        <v>12415.91601973025</v>
      </c>
      <c r="G27" s="363">
        <f t="shared" si="0"/>
        <v>610971.23928039917</v>
      </c>
      <c r="H27" s="147">
        <f t="shared" si="3"/>
        <v>2.315580996872713</v>
      </c>
      <c r="I27" s="150">
        <f>VLOOKUP(B27,'Emissions Rates'!E102:I131,2)</f>
        <v>18900</v>
      </c>
      <c r="J27" s="150">
        <f t="shared" si="4"/>
        <v>43764.480840894277</v>
      </c>
      <c r="K27" s="351">
        <f t="shared" si="5"/>
        <v>1493.1709408145459</v>
      </c>
      <c r="L27" s="150">
        <f>VLOOKUP(B27,'Emissions Rates'!E102:I131,5)</f>
        <v>75</v>
      </c>
      <c r="M27" s="150">
        <f t="shared" si="6"/>
        <v>111987.82056109095</v>
      </c>
      <c r="N27" s="150">
        <f t="shared" si="1"/>
        <v>65781</v>
      </c>
      <c r="O27" s="150">
        <f t="shared" si="2"/>
        <v>12948</v>
      </c>
      <c r="P27" s="364">
        <f t="shared" si="7"/>
        <v>78729</v>
      </c>
      <c r="X27" s="356"/>
      <c r="Z27" s="356"/>
    </row>
    <row r="28" spans="2:26" x14ac:dyDescent="0.3">
      <c r="B28" s="362">
        <f>'Maint Delays Avoidance'!B33</f>
        <v>2040</v>
      </c>
      <c r="C28" s="363">
        <f>TT_Savings!D29/TT_Savings!$B$11</f>
        <v>267252.59232469375</v>
      </c>
      <c r="D28" s="363">
        <f>'Maint Delays Avoidance'!E33</f>
        <v>54017.025590576341</v>
      </c>
      <c r="E28" s="363">
        <f>'DMS Delay Avoidance'!F31/'DMS Delay Avoidance'!$C$14</f>
        <v>289256.81181061215</v>
      </c>
      <c r="F28" s="363">
        <f>SignalCoord!E31</f>
        <v>12664.234340124856</v>
      </c>
      <c r="G28" s="363">
        <f t="shared" si="0"/>
        <v>623190.66406600713</v>
      </c>
      <c r="H28" s="147">
        <f t="shared" si="3"/>
        <v>2.361892616810167</v>
      </c>
      <c r="I28" s="150">
        <f>VLOOKUP(B28,'Emissions Rates'!E103:I132,2)</f>
        <v>18900</v>
      </c>
      <c r="J28" s="150">
        <f t="shared" si="4"/>
        <v>44639.770457712155</v>
      </c>
      <c r="K28" s="351">
        <f t="shared" si="5"/>
        <v>1523.0343596308367</v>
      </c>
      <c r="L28" s="150">
        <f>VLOOKUP(B28,'Emissions Rates'!E103:I132,5)</f>
        <v>76</v>
      </c>
      <c r="M28" s="150">
        <f t="shared" si="6"/>
        <v>115750.61133194358</v>
      </c>
      <c r="N28" s="150">
        <f t="shared" si="1"/>
        <v>66011</v>
      </c>
      <c r="O28" s="150">
        <f t="shared" si="2"/>
        <v>12343</v>
      </c>
      <c r="P28" s="364">
        <f t="shared" si="7"/>
        <v>78354</v>
      </c>
      <c r="X28" s="356"/>
      <c r="Z28" s="356"/>
    </row>
    <row r="29" spans="2:26" x14ac:dyDescent="0.3">
      <c r="B29" s="362">
        <f>'Maint Delays Avoidance'!B34</f>
        <v>2041</v>
      </c>
      <c r="C29" s="363">
        <f>TT_Savings!D30/TT_Savings!$B$11</f>
        <v>272597.64417118754</v>
      </c>
      <c r="D29" s="363">
        <f>'Maint Delays Avoidance'!E34</f>
        <v>55097.366102387874</v>
      </c>
      <c r="E29" s="363">
        <f>'DMS Delay Avoidance'!F32/'DMS Delay Avoidance'!$C$14</f>
        <v>295041.94804682443</v>
      </c>
      <c r="F29" s="363">
        <f>SignalCoord!E32</f>
        <v>12917.519026927353</v>
      </c>
      <c r="G29" s="363">
        <f t="shared" si="0"/>
        <v>635654.47734732716</v>
      </c>
      <c r="H29" s="147">
        <f t="shared" si="3"/>
        <v>2.40913046914637</v>
      </c>
      <c r="I29" s="150">
        <f>VLOOKUP(B29,'Emissions Rates'!E104:I133,2)</f>
        <v>18900</v>
      </c>
      <c r="J29" s="150">
        <f t="shared" si="4"/>
        <v>45532.565866866389</v>
      </c>
      <c r="K29" s="351">
        <f t="shared" si="5"/>
        <v>1553.4950468234531</v>
      </c>
      <c r="L29" s="150">
        <f>VLOOKUP(B29,'Emissions Rates'!E104:I133,5)</f>
        <v>78</v>
      </c>
      <c r="M29" s="150">
        <f t="shared" si="6"/>
        <v>121172.61365222934</v>
      </c>
      <c r="N29" s="150">
        <f t="shared" si="1"/>
        <v>67090</v>
      </c>
      <c r="O29" s="150">
        <f t="shared" si="2"/>
        <v>11766</v>
      </c>
      <c r="P29" s="364">
        <f t="shared" si="7"/>
        <v>78856</v>
      </c>
      <c r="X29" s="356"/>
      <c r="Z29" s="356"/>
    </row>
    <row r="30" spans="2:26" x14ac:dyDescent="0.3">
      <c r="B30" s="362">
        <f>'Maint Delays Avoidance'!B35</f>
        <v>2042</v>
      </c>
      <c r="C30" s="363">
        <f>TT_Savings!D31/TT_Savings!$B$11</f>
        <v>278049.59705461137</v>
      </c>
      <c r="D30" s="363">
        <f>'Maint Delays Avoidance'!E35</f>
        <v>56199.313424435641</v>
      </c>
      <c r="E30" s="363">
        <f>'DMS Delay Avoidance'!F33/'DMS Delay Avoidance'!$C$14</f>
        <v>300942.78700776096</v>
      </c>
      <c r="F30" s="363">
        <f>SignalCoord!E33</f>
        <v>13175.8694074659</v>
      </c>
      <c r="G30" s="363">
        <f t="shared" si="0"/>
        <v>648367.56689427386</v>
      </c>
      <c r="H30" s="147">
        <f t="shared" si="3"/>
        <v>2.4573130785292983</v>
      </c>
      <c r="I30" s="150">
        <f>VLOOKUP(B30,'Emissions Rates'!E105:I134,2)</f>
        <v>18900</v>
      </c>
      <c r="J30" s="150">
        <f t="shared" si="4"/>
        <v>46443.217184203735</v>
      </c>
      <c r="K30" s="351">
        <f t="shared" si="5"/>
        <v>1584.5649477599227</v>
      </c>
      <c r="L30" s="150">
        <f>VLOOKUP(B30,'Emissions Rates'!E105:I134,5)</f>
        <v>79</v>
      </c>
      <c r="M30" s="150">
        <f t="shared" si="6"/>
        <v>125180.63087303389</v>
      </c>
      <c r="N30" s="150">
        <f t="shared" si="1"/>
        <v>67291</v>
      </c>
      <c r="O30" s="150">
        <f t="shared" si="2"/>
        <v>11217</v>
      </c>
      <c r="P30" s="364">
        <f t="shared" si="7"/>
        <v>78508</v>
      </c>
      <c r="X30" s="356"/>
      <c r="Z30" s="356"/>
    </row>
    <row r="31" spans="2:26" x14ac:dyDescent="0.3">
      <c r="B31" s="362">
        <f>'Maint Delays Avoidance'!B36</f>
        <v>2043</v>
      </c>
      <c r="C31" s="363">
        <f>TT_Savings!D32/TT_Savings!$B$11</f>
        <v>283610.58899570355</v>
      </c>
      <c r="D31" s="363">
        <f>'Maint Delays Avoidance'!E36</f>
        <v>57323.299692924345</v>
      </c>
      <c r="E31" s="363">
        <f>'DMS Delay Avoidance'!F34/'DMS Delay Avoidance'!$C$14</f>
        <v>306961.64274791611</v>
      </c>
      <c r="F31" s="363">
        <f>SignalCoord!E34</f>
        <v>13439.386795615217</v>
      </c>
      <c r="G31" s="363">
        <f t="shared" si="0"/>
        <v>661334.91823215922</v>
      </c>
      <c r="H31" s="147">
        <f t="shared" si="3"/>
        <v>2.5064593400998834</v>
      </c>
      <c r="I31" s="150">
        <f>VLOOKUP(B31,'Emissions Rates'!E106:I135,2)</f>
        <v>18900</v>
      </c>
      <c r="J31" s="150">
        <f t="shared" si="4"/>
        <v>47372.081527887793</v>
      </c>
      <c r="K31" s="351">
        <f t="shared" si="5"/>
        <v>1616.2562467151206</v>
      </c>
      <c r="L31" s="150">
        <f>VLOOKUP(B31,'Emissions Rates'!E106:I135,5)</f>
        <v>80</v>
      </c>
      <c r="M31" s="150">
        <f t="shared" si="6"/>
        <v>129300.49973720964</v>
      </c>
      <c r="N31" s="150">
        <f t="shared" si="1"/>
        <v>67481</v>
      </c>
      <c r="O31" s="150">
        <f t="shared" si="2"/>
        <v>10693</v>
      </c>
      <c r="P31" s="364">
        <f t="shared" si="7"/>
        <v>78174</v>
      </c>
      <c r="X31" s="356"/>
      <c r="Z31" s="356"/>
    </row>
    <row r="32" spans="2:26" x14ac:dyDescent="0.3">
      <c r="B32" s="362">
        <f>'Maint Delays Avoidance'!B37</f>
        <v>2044</v>
      </c>
      <c r="C32" s="363">
        <f>TT_Savings!D33/TT_Savings!$B$11</f>
        <v>289282.80077561765</v>
      </c>
      <c r="D32" s="363">
        <f>'Maint Delays Avoidance'!E37</f>
        <v>58469.765686782826</v>
      </c>
      <c r="E32" s="363">
        <f>'DMS Delay Avoidance'!F35/'DMS Delay Avoidance'!$C$14</f>
        <v>313100.8756028745</v>
      </c>
      <c r="F32" s="363">
        <f>SignalCoord!E35</f>
        <v>13708.174531527522</v>
      </c>
      <c r="G32" s="363">
        <f t="shared" si="0"/>
        <v>674561.6165968026</v>
      </c>
      <c r="H32" s="147">
        <f t="shared" si="3"/>
        <v>2.5565885269018818</v>
      </c>
      <c r="I32" s="150">
        <f>VLOOKUP(B32,'Emissions Rates'!E107:I136,2)</f>
        <v>18900</v>
      </c>
      <c r="J32" s="150">
        <f t="shared" si="4"/>
        <v>48319.523158445569</v>
      </c>
      <c r="K32" s="351">
        <f t="shared" si="5"/>
        <v>1648.5813716494235</v>
      </c>
      <c r="L32" s="150">
        <f>VLOOKUP(B32,'Emissions Rates'!E107:I136,5)</f>
        <v>81</v>
      </c>
      <c r="M32" s="150">
        <f t="shared" si="6"/>
        <v>133535.09110360331</v>
      </c>
      <c r="N32" s="150">
        <f t="shared" si="1"/>
        <v>67661</v>
      </c>
      <c r="O32" s="150">
        <f t="shared" si="2"/>
        <v>10193</v>
      </c>
      <c r="P32" s="364">
        <f t="shared" si="7"/>
        <v>77854</v>
      </c>
      <c r="X32" s="356"/>
      <c r="Z32" s="356"/>
    </row>
    <row r="33" spans="2:26" x14ac:dyDescent="0.3">
      <c r="B33" s="362">
        <f>'Maint Delays Avoidance'!B38</f>
        <v>2045</v>
      </c>
      <c r="C33" s="363">
        <f>TT_Savings!D34/TT_Savings!$B$11</f>
        <v>295068.45679113001</v>
      </c>
      <c r="D33" s="363">
        <f>'Maint Delays Avoidance'!E38</f>
        <v>59639.161000518492</v>
      </c>
      <c r="E33" s="363">
        <f>'DMS Delay Avoidance'!F36/'DMS Delay Avoidance'!$C$14</f>
        <v>319362.893114932</v>
      </c>
      <c r="F33" s="363">
        <f>SignalCoord!E36</f>
        <v>13982.33802215807</v>
      </c>
      <c r="G33" s="363">
        <f t="shared" si="0"/>
        <v>688052.8489287385</v>
      </c>
      <c r="H33" s="147">
        <f t="shared" si="3"/>
        <v>2.607720297439919</v>
      </c>
      <c r="I33" s="150">
        <f>VLOOKUP(B33,'Emissions Rates'!E108:I137,2)</f>
        <v>18900</v>
      </c>
      <c r="J33" s="150">
        <f t="shared" si="4"/>
        <v>49285.913621614469</v>
      </c>
      <c r="K33" s="351">
        <f t="shared" si="5"/>
        <v>1681.5529990824118</v>
      </c>
      <c r="L33" s="150">
        <f>VLOOKUP(B33,'Emissions Rates'!E108:I137,5)</f>
        <v>82</v>
      </c>
      <c r="M33" s="150">
        <f t="shared" si="6"/>
        <v>137887.34592475777</v>
      </c>
      <c r="N33" s="150">
        <f t="shared" si="1"/>
        <v>67831</v>
      </c>
      <c r="O33" s="150">
        <f t="shared" si="2"/>
        <v>9717</v>
      </c>
      <c r="P33" s="364">
        <f t="shared" si="7"/>
        <v>77548</v>
      </c>
      <c r="X33" s="356"/>
      <c r="Z33" s="356"/>
    </row>
    <row r="34" spans="2:26" x14ac:dyDescent="0.3">
      <c r="B34" s="362">
        <f>'Maint Delays Avoidance'!B39</f>
        <v>2046</v>
      </c>
      <c r="C34" s="363">
        <f>TT_Savings!D35/TT_Savings!$B$11</f>
        <v>300969.82592695259</v>
      </c>
      <c r="D34" s="363">
        <f>'Maint Delays Avoidance'!E39</f>
        <v>60831.944220528858</v>
      </c>
      <c r="E34" s="363">
        <f>'DMS Delay Avoidance'!F37/'DMS Delay Avoidance'!$C$14</f>
        <v>325750.15097723057</v>
      </c>
      <c r="F34" s="363">
        <f>SignalCoord!E37</f>
        <v>14261.984782601234</v>
      </c>
      <c r="G34" s="363">
        <f t="shared" si="0"/>
        <v>701813.90590731334</v>
      </c>
      <c r="H34" s="147">
        <f t="shared" si="3"/>
        <v>2.6598747033887173</v>
      </c>
      <c r="I34" s="150">
        <f>VLOOKUP(B34,'Emissions Rates'!E109:I138,2)</f>
        <v>18900</v>
      </c>
      <c r="J34" s="150">
        <f t="shared" si="4"/>
        <v>50271.631894046761</v>
      </c>
      <c r="K34" s="351">
        <f t="shared" si="5"/>
        <v>1715.18405906406</v>
      </c>
      <c r="L34" s="150">
        <f>VLOOKUP(B34,'Emissions Rates'!E109:I138,5)</f>
        <v>84</v>
      </c>
      <c r="M34" s="150">
        <f t="shared" si="6"/>
        <v>144075.46096138103</v>
      </c>
      <c r="N34" s="150">
        <f t="shared" si="1"/>
        <v>68811</v>
      </c>
      <c r="O34" s="150">
        <f t="shared" si="2"/>
        <v>9263</v>
      </c>
      <c r="P34" s="364">
        <f t="shared" si="7"/>
        <v>78074</v>
      </c>
      <c r="X34" s="356"/>
      <c r="Z34" s="356"/>
    </row>
    <row r="35" spans="2:26" ht="13.5" thickBot="1" x14ac:dyDescent="0.35">
      <c r="B35" s="365">
        <f>'Maint Delays Avoidance'!B40</f>
        <v>2047</v>
      </c>
      <c r="C35" s="366">
        <f>TT_Savings!D36/TT_Savings!$B$11</f>
        <v>306989.2224454917</v>
      </c>
      <c r="D35" s="366">
        <f>'Maint Delays Avoidance'!E40</f>
        <v>62048.58310493944</v>
      </c>
      <c r="E35" s="366">
        <f>'DMS Delay Avoidance'!F38/'DMS Delay Avoidance'!$C$14</f>
        <v>332265.15399677522</v>
      </c>
      <c r="F35" s="366">
        <f>SignalCoord!E38</f>
        <v>14547.22447825326</v>
      </c>
      <c r="G35" s="366">
        <f t="shared" si="0"/>
        <v>715850.18402545957</v>
      </c>
      <c r="H35" s="320">
        <f t="shared" si="3"/>
        <v>2.7130721974564915</v>
      </c>
      <c r="I35" s="318">
        <f>VLOOKUP(B35,'Emissions Rates'!E110:I139,2)</f>
        <v>18900</v>
      </c>
      <c r="J35" s="318">
        <f t="shared" si="4"/>
        <v>51277.064531927688</v>
      </c>
      <c r="K35" s="367">
        <f t="shared" si="5"/>
        <v>1749.4877402453412</v>
      </c>
      <c r="L35" s="318">
        <f>VLOOKUP(B35,'Emissions Rates'!E110:I139,5)</f>
        <v>85</v>
      </c>
      <c r="M35" s="318">
        <f t="shared" si="6"/>
        <v>148706.45792085401</v>
      </c>
      <c r="N35" s="318">
        <f t="shared" si="1"/>
        <v>68954</v>
      </c>
      <c r="O35" s="318">
        <f t="shared" si="2"/>
        <v>8830</v>
      </c>
      <c r="P35" s="368">
        <f t="shared" si="7"/>
        <v>77784</v>
      </c>
      <c r="X35" s="356"/>
      <c r="Z35" s="356"/>
    </row>
    <row r="36" spans="2:26" x14ac:dyDescent="0.3">
      <c r="K36" s="353">
        <f>SUM(K16:K35)</f>
        <v>29178.764815247756</v>
      </c>
      <c r="O36" s="148">
        <f>SUM(P16:P35)</f>
        <v>1590401</v>
      </c>
    </row>
    <row r="37" spans="2:26" ht="13.5" thickBot="1" x14ac:dyDescent="0.35"/>
    <row r="38" spans="2:26" ht="52" x14ac:dyDescent="0.3">
      <c r="B38" s="369" t="s">
        <v>145</v>
      </c>
      <c r="C38" s="370" t="s">
        <v>612</v>
      </c>
      <c r="D38" s="370" t="s">
        <v>613</v>
      </c>
      <c r="E38" s="359" t="s">
        <v>614</v>
      </c>
      <c r="F38" s="370" t="s">
        <v>862</v>
      </c>
      <c r="G38" s="371" t="s">
        <v>604</v>
      </c>
      <c r="H38" s="372" t="s">
        <v>605</v>
      </c>
      <c r="I38" s="371" t="s">
        <v>606</v>
      </c>
      <c r="J38" s="371" t="s">
        <v>615</v>
      </c>
      <c r="K38" s="370" t="s">
        <v>616</v>
      </c>
      <c r="L38" s="371" t="s">
        <v>617</v>
      </c>
      <c r="M38" s="371" t="s">
        <v>607</v>
      </c>
      <c r="N38" s="370" t="s">
        <v>596</v>
      </c>
      <c r="O38" s="371" t="s">
        <v>608</v>
      </c>
      <c r="P38" s="373" t="s">
        <v>609</v>
      </c>
      <c r="Q38" s="371" t="s">
        <v>610</v>
      </c>
      <c r="R38" s="374" t="s">
        <v>611</v>
      </c>
    </row>
    <row r="39" spans="2:26" x14ac:dyDescent="0.3">
      <c r="B39" s="375">
        <f t="shared" ref="B39:B58" si="8">B16</f>
        <v>2028</v>
      </c>
      <c r="C39" s="376">
        <f>TT_Savings!J17</f>
        <v>13450.649693906013</v>
      </c>
      <c r="D39" s="377">
        <f>'Maint Delays Avoidance'!I21</f>
        <v>2555.5233626033482</v>
      </c>
      <c r="E39" s="377">
        <f>'DMS Delay Avoidance'!I19</f>
        <v>14558.107793819687</v>
      </c>
      <c r="F39" s="377">
        <f>SignalCoord!F19</f>
        <v>637.38270326523252</v>
      </c>
      <c r="G39" s="149">
        <f>SUM(C39:F39)/$B$12*$B$9</f>
        <v>0.94675207720671117</v>
      </c>
      <c r="H39" s="378">
        <f t="shared" ref="H39:H58" si="9">I16</f>
        <v>18200</v>
      </c>
      <c r="I39" s="149">
        <f t="shared" ref="I39:I58" si="10">SUM(H39*G39)</f>
        <v>17230.887805162143</v>
      </c>
      <c r="J39" s="149">
        <f>SUM(C39:F39)/$B$12*$B$10</f>
        <v>3.4103418264078547E-2</v>
      </c>
      <c r="K39" s="379">
        <f>VLOOKUP(B39,'Emissions Rates'!E91:I120,4)</f>
        <v>879400</v>
      </c>
      <c r="L39" s="150">
        <f t="shared" ref="L39:L58" si="11">SUM(K39*J39)</f>
        <v>29990.546021430673</v>
      </c>
      <c r="M39" s="149">
        <f>SUM(C39:F39)/$B$12*$B$11</f>
        <v>0.59454769901373894</v>
      </c>
      <c r="N39" s="379">
        <f t="shared" ref="N39:N58" si="12">L16</f>
        <v>62</v>
      </c>
      <c r="O39" s="149">
        <f>SUM(N39*M39)</f>
        <v>36.861957338851816</v>
      </c>
      <c r="P39" s="380">
        <f>ROUND((O39)/((1+B$3)^($B39-$B$4)),0)</f>
        <v>30</v>
      </c>
      <c r="Q39" s="380">
        <f>ROUND(SUM(L39,I39)/((1+B$2)^($B39-$B$4)),0)</f>
        <v>29407</v>
      </c>
      <c r="R39" s="316">
        <f>SUM(P39:Q39)</f>
        <v>29437</v>
      </c>
    </row>
    <row r="40" spans="2:26" x14ac:dyDescent="0.3">
      <c r="B40" s="375">
        <f t="shared" si="8"/>
        <v>2029</v>
      </c>
      <c r="C40" s="376">
        <f>TT_Savings!J18</f>
        <v>13719.662687784132</v>
      </c>
      <c r="D40" s="377">
        <f>'Maint Delays Avoidance'!I22</f>
        <v>2606.6338298554147</v>
      </c>
      <c r="E40" s="377">
        <f>'DMS Delay Avoidance'!I20</f>
        <v>14849.269949696081</v>
      </c>
      <c r="F40" s="377">
        <f>SignalCoord!F20</f>
        <v>650.13035733053732</v>
      </c>
      <c r="G40" s="149">
        <f t="shared" ref="G40:G58" si="13">SUM(C40:F40)/$B$12*$B$9</f>
        <v>0.96568711875084556</v>
      </c>
      <c r="H40" s="378">
        <f t="shared" si="9"/>
        <v>18600</v>
      </c>
      <c r="I40" s="149">
        <f t="shared" si="10"/>
        <v>17961.780408765728</v>
      </c>
      <c r="J40" s="149">
        <f t="shared" ref="J40:J58" si="14">SUM(C40:F40)/$B$12*$B$10</f>
        <v>3.4785486629360124E-2</v>
      </c>
      <c r="K40" s="379">
        <f>VLOOKUP(B40,'Emissions Rates'!E92:I121,4)</f>
        <v>893400</v>
      </c>
      <c r="L40" s="150">
        <f t="shared" si="11"/>
        <v>31077.353754670334</v>
      </c>
      <c r="M40" s="149">
        <f t="shared" ref="M40:M58" si="15">SUM(C40:F40)/$B$12*$B$11</f>
        <v>0.60643865299401389</v>
      </c>
      <c r="N40" s="379">
        <f t="shared" si="12"/>
        <v>63</v>
      </c>
      <c r="O40" s="149">
        <f t="shared" ref="O40:O58" si="16">SUM(N40*M40)</f>
        <v>38.205635138622874</v>
      </c>
      <c r="P40" s="380">
        <f t="shared" ref="P40:P58" si="17">ROUND((O40)/((1+B$3)^($B40-$B$4)),0)</f>
        <v>30</v>
      </c>
      <c r="Q40" s="380">
        <f t="shared" ref="Q40:Q58" si="18">ROUND(SUM(L40,I40)/((1+B$2)^($B40-$B$4)),0)</f>
        <v>28541</v>
      </c>
      <c r="R40" s="316">
        <f t="shared" ref="R40:R58" si="19">SUM(P40:Q40)</f>
        <v>28571</v>
      </c>
    </row>
    <row r="41" spans="2:26" x14ac:dyDescent="0.3">
      <c r="B41" s="375">
        <f t="shared" si="8"/>
        <v>2030</v>
      </c>
      <c r="C41" s="376">
        <f>TT_Savings!J19</f>
        <v>13994.055941539813</v>
      </c>
      <c r="D41" s="377">
        <f>'Maint Delays Avoidance'!I23</f>
        <v>2658.7665064525231</v>
      </c>
      <c r="E41" s="377">
        <f>'DMS Delay Avoidance'!I21</f>
        <v>15146.255348690005</v>
      </c>
      <c r="F41" s="377">
        <f>SignalCoord!F21</f>
        <v>663.13296447714811</v>
      </c>
      <c r="G41" s="149">
        <f t="shared" si="13"/>
        <v>0.98500086112586238</v>
      </c>
      <c r="H41" s="378">
        <f t="shared" si="9"/>
        <v>18900</v>
      </c>
      <c r="I41" s="149">
        <f t="shared" si="10"/>
        <v>18616.516275278798</v>
      </c>
      <c r="J41" s="149">
        <f t="shared" si="14"/>
        <v>3.5481196361947319E-2</v>
      </c>
      <c r="K41" s="379">
        <f>VLOOKUP(B41,'Emissions Rates'!E93:I122,4)</f>
        <v>907600</v>
      </c>
      <c r="L41" s="150">
        <f t="shared" si="11"/>
        <v>32202.733818103388</v>
      </c>
      <c r="M41" s="149">
        <f t="shared" si="15"/>
        <v>0.61856742605389403</v>
      </c>
      <c r="N41" s="379">
        <f t="shared" si="12"/>
        <v>65</v>
      </c>
      <c r="O41" s="149">
        <f t="shared" si="16"/>
        <v>40.206882693503111</v>
      </c>
      <c r="P41" s="380">
        <f t="shared" si="17"/>
        <v>31</v>
      </c>
      <c r="Q41" s="380">
        <f t="shared" si="18"/>
        <v>27642</v>
      </c>
      <c r="R41" s="316">
        <f t="shared" si="19"/>
        <v>27673</v>
      </c>
    </row>
    <row r="42" spans="2:26" x14ac:dyDescent="0.3">
      <c r="B42" s="375">
        <f t="shared" si="8"/>
        <v>2031</v>
      </c>
      <c r="C42" s="376">
        <f>TT_Savings!J20</f>
        <v>14273.93706037061</v>
      </c>
      <c r="D42" s="377">
        <f>'Maint Delays Avoidance'!I24</f>
        <v>2711.9418365815741</v>
      </c>
      <c r="E42" s="377">
        <f>'DMS Delay Avoidance'!I22</f>
        <v>15449.180455663802</v>
      </c>
      <c r="F42" s="377">
        <f>SignalCoord!F22</f>
        <v>676.39562376669096</v>
      </c>
      <c r="G42" s="149">
        <f t="shared" si="13"/>
        <v>1.0047008783483797</v>
      </c>
      <c r="H42" s="378">
        <f t="shared" si="9"/>
        <v>18900</v>
      </c>
      <c r="I42" s="149">
        <f t="shared" si="10"/>
        <v>18988.846600784378</v>
      </c>
      <c r="J42" s="149">
        <f t="shared" si="14"/>
        <v>3.6190820289186271E-2</v>
      </c>
      <c r="K42" s="379">
        <f>VLOOKUP(B42,'Emissions Rates'!E94:I123,4)</f>
        <v>907600</v>
      </c>
      <c r="L42" s="150">
        <f t="shared" si="11"/>
        <v>32846.788494465458</v>
      </c>
      <c r="M42" s="149">
        <f t="shared" si="15"/>
        <v>0.63093877457497194</v>
      </c>
      <c r="N42" s="379">
        <f t="shared" si="12"/>
        <v>66</v>
      </c>
      <c r="O42" s="149">
        <f t="shared" si="16"/>
        <v>41.641959121948148</v>
      </c>
      <c r="P42" s="380">
        <f t="shared" si="17"/>
        <v>31</v>
      </c>
      <c r="Q42" s="380">
        <f t="shared" si="18"/>
        <v>26351</v>
      </c>
      <c r="R42" s="316">
        <f t="shared" si="19"/>
        <v>26382</v>
      </c>
    </row>
    <row r="43" spans="2:26" x14ac:dyDescent="0.3">
      <c r="B43" s="375">
        <f t="shared" si="8"/>
        <v>2032</v>
      </c>
      <c r="C43" s="376">
        <f>TT_Savings!J21</f>
        <v>14559.415801578025</v>
      </c>
      <c r="D43" s="377">
        <f>'Maint Delays Avoidance'!I25</f>
        <v>2766.1806733132053</v>
      </c>
      <c r="E43" s="377">
        <f>'DMS Delay Avoidance'!I23</f>
        <v>15758.164064777078</v>
      </c>
      <c r="F43" s="377">
        <f>SignalCoord!F23</f>
        <v>689.92353624202474</v>
      </c>
      <c r="G43" s="149">
        <f t="shared" si="13"/>
        <v>1.0247948959153472</v>
      </c>
      <c r="H43" s="378">
        <f t="shared" si="9"/>
        <v>18900</v>
      </c>
      <c r="I43" s="149">
        <f t="shared" si="10"/>
        <v>19368.623532800062</v>
      </c>
      <c r="J43" s="149">
        <f t="shared" si="14"/>
        <v>3.6914636694969992E-2</v>
      </c>
      <c r="K43" s="379">
        <f>VLOOKUP(B43,'Emissions Rates'!E95:I124,4)</f>
        <v>907600</v>
      </c>
      <c r="L43" s="150">
        <f t="shared" si="11"/>
        <v>33503.724264354765</v>
      </c>
      <c r="M43" s="149">
        <f t="shared" si="15"/>
        <v>0.64355755006647142</v>
      </c>
      <c r="N43" s="379">
        <f t="shared" si="12"/>
        <v>67</v>
      </c>
      <c r="O43" s="149">
        <f t="shared" si="16"/>
        <v>43.118355854453583</v>
      </c>
      <c r="P43" s="380">
        <f t="shared" si="17"/>
        <v>31</v>
      </c>
      <c r="Q43" s="380">
        <f t="shared" si="18"/>
        <v>25119</v>
      </c>
      <c r="R43" s="316">
        <f t="shared" si="19"/>
        <v>25150</v>
      </c>
    </row>
    <row r="44" spans="2:26" x14ac:dyDescent="0.3">
      <c r="B44" s="375">
        <f t="shared" si="8"/>
        <v>2033</v>
      </c>
      <c r="C44" s="376">
        <f>TT_Savings!J22</f>
        <v>14850.604117609584</v>
      </c>
      <c r="D44" s="377">
        <f>'Maint Delays Avoidance'!I26</f>
        <v>2821.50428677947</v>
      </c>
      <c r="E44" s="377">
        <f>'DMS Delay Avoidance'!I24</f>
        <v>16073.327346072621</v>
      </c>
      <c r="F44" s="377">
        <f>SignalCoord!F24</f>
        <v>703.72200696686525</v>
      </c>
      <c r="G44" s="149">
        <f t="shared" si="13"/>
        <v>1.0452907938336542</v>
      </c>
      <c r="H44" s="378">
        <f t="shared" si="9"/>
        <v>18900</v>
      </c>
      <c r="I44" s="149">
        <f t="shared" si="10"/>
        <v>19755.996003456064</v>
      </c>
      <c r="J44" s="149">
        <f t="shared" si="14"/>
        <v>3.7652929428869393E-2</v>
      </c>
      <c r="K44" s="379">
        <f>VLOOKUP(B44,'Emissions Rates'!E96:I125,4)</f>
        <v>907600</v>
      </c>
      <c r="L44" s="150">
        <f t="shared" si="11"/>
        <v>34173.798749641865</v>
      </c>
      <c r="M44" s="149">
        <f t="shared" si="15"/>
        <v>0.65642870106780082</v>
      </c>
      <c r="N44" s="379">
        <f t="shared" si="12"/>
        <v>68</v>
      </c>
      <c r="O44" s="149">
        <f t="shared" si="16"/>
        <v>44.637151672610457</v>
      </c>
      <c r="P44" s="380">
        <f t="shared" si="17"/>
        <v>31</v>
      </c>
      <c r="Q44" s="380">
        <f t="shared" si="18"/>
        <v>23945</v>
      </c>
      <c r="R44" s="316">
        <f t="shared" si="19"/>
        <v>23976</v>
      </c>
    </row>
    <row r="45" spans="2:26" x14ac:dyDescent="0.3">
      <c r="B45" s="375">
        <f t="shared" si="8"/>
        <v>2034</v>
      </c>
      <c r="C45" s="376">
        <f>TT_Savings!J23</f>
        <v>15147.616199961776</v>
      </c>
      <c r="D45" s="377">
        <f>'Maint Delays Avoidance'!I27</f>
        <v>2877.9343725150593</v>
      </c>
      <c r="E45" s="377">
        <f>'DMS Delay Avoidance'!I25</f>
        <v>16394.793892994072</v>
      </c>
      <c r="F45" s="377">
        <f>SignalCoord!F25</f>
        <v>717.79644710620266</v>
      </c>
      <c r="G45" s="149">
        <f t="shared" si="13"/>
        <v>1.0661966097103273</v>
      </c>
      <c r="H45" s="378">
        <f t="shared" si="9"/>
        <v>18900</v>
      </c>
      <c r="I45" s="149">
        <f t="shared" si="10"/>
        <v>20151.115923525183</v>
      </c>
      <c r="J45" s="149">
        <f t="shared" si="14"/>
        <v>3.8405988017446782E-2</v>
      </c>
      <c r="K45" s="379">
        <f>VLOOKUP(B45,'Emissions Rates'!E97:I126,4)</f>
        <v>907600</v>
      </c>
      <c r="L45" s="150">
        <f t="shared" si="11"/>
        <v>34857.274724634699</v>
      </c>
      <c r="M45" s="149">
        <f t="shared" si="15"/>
        <v>0.66955727508915686</v>
      </c>
      <c r="N45" s="379">
        <f t="shared" si="12"/>
        <v>69</v>
      </c>
      <c r="O45" s="149">
        <f t="shared" si="16"/>
        <v>46.199451981151824</v>
      </c>
      <c r="P45" s="380">
        <f t="shared" si="17"/>
        <v>31</v>
      </c>
      <c r="Q45" s="380">
        <f t="shared" si="18"/>
        <v>22827</v>
      </c>
      <c r="R45" s="316">
        <f t="shared" si="19"/>
        <v>22858</v>
      </c>
    </row>
    <row r="46" spans="2:26" x14ac:dyDescent="0.3">
      <c r="B46" s="375">
        <f t="shared" si="8"/>
        <v>2035</v>
      </c>
      <c r="C46" s="376">
        <f>TT_Savings!J24</f>
        <v>15450.56852396101</v>
      </c>
      <c r="D46" s="377">
        <f>'Maint Delays Avoidance'!I28</f>
        <v>2935.4930599653599</v>
      </c>
      <c r="E46" s="377">
        <f>'DMS Delay Avoidance'!I26</f>
        <v>16722.689770853955</v>
      </c>
      <c r="F46" s="377">
        <f>SignalCoord!F26</f>
        <v>732.15237604832657</v>
      </c>
      <c r="G46" s="149">
        <f t="shared" si="13"/>
        <v>1.0875205419045337</v>
      </c>
      <c r="H46" s="378">
        <f t="shared" si="9"/>
        <v>18900</v>
      </c>
      <c r="I46" s="149">
        <f t="shared" si="10"/>
        <v>20554.138241995686</v>
      </c>
      <c r="J46" s="149">
        <f t="shared" si="14"/>
        <v>3.9174107777795709E-2</v>
      </c>
      <c r="K46" s="379">
        <f>VLOOKUP(B46,'Emissions Rates'!E98:I127,4)</f>
        <v>907600</v>
      </c>
      <c r="L46" s="150">
        <f t="shared" si="11"/>
        <v>35554.420219127387</v>
      </c>
      <c r="M46" s="149">
        <f t="shared" si="15"/>
        <v>0.68294842059093985</v>
      </c>
      <c r="N46" s="379">
        <f t="shared" si="12"/>
        <v>70</v>
      </c>
      <c r="O46" s="149">
        <f t="shared" si="16"/>
        <v>47.806389441365788</v>
      </c>
      <c r="P46" s="380">
        <f t="shared" si="17"/>
        <v>32</v>
      </c>
      <c r="Q46" s="380">
        <f t="shared" si="18"/>
        <v>21760</v>
      </c>
      <c r="R46" s="316">
        <f t="shared" si="19"/>
        <v>21792</v>
      </c>
    </row>
    <row r="47" spans="2:26" x14ac:dyDescent="0.3">
      <c r="B47" s="375">
        <f t="shared" si="8"/>
        <v>2036</v>
      </c>
      <c r="C47" s="376">
        <f>TT_Savings!J25</f>
        <v>15759.579894440232</v>
      </c>
      <c r="D47" s="377">
        <f>'Maint Delays Avoidance'!I29</f>
        <v>2994.2029211646673</v>
      </c>
      <c r="E47" s="377">
        <f>'DMS Delay Avoidance'!I27</f>
        <v>17057.143566271032</v>
      </c>
      <c r="F47" s="377">
        <f>SignalCoord!F27</f>
        <v>746.79542356929323</v>
      </c>
      <c r="G47" s="149">
        <f t="shared" si="13"/>
        <v>1.1092709527426248</v>
      </c>
      <c r="H47" s="378">
        <f t="shared" si="9"/>
        <v>18900</v>
      </c>
      <c r="I47" s="149">
        <f t="shared" si="10"/>
        <v>20965.221006835607</v>
      </c>
      <c r="J47" s="149">
        <f t="shared" si="14"/>
        <v>3.9957589933351641E-2</v>
      </c>
      <c r="K47" s="379">
        <f>VLOOKUP(B47,'Emissions Rates'!E99:I128,4)</f>
        <v>907600</v>
      </c>
      <c r="L47" s="150">
        <f t="shared" si="11"/>
        <v>36265.508623509952</v>
      </c>
      <c r="M47" s="149">
        <f t="shared" si="15"/>
        <v>0.69660738900275887</v>
      </c>
      <c r="N47" s="379">
        <f t="shared" si="12"/>
        <v>72</v>
      </c>
      <c r="O47" s="149">
        <f t="shared" si="16"/>
        <v>50.15573200819864</v>
      </c>
      <c r="P47" s="380">
        <f t="shared" si="17"/>
        <v>32</v>
      </c>
      <c r="Q47" s="380">
        <f t="shared" si="18"/>
        <v>20743</v>
      </c>
      <c r="R47" s="316">
        <f t="shared" si="19"/>
        <v>20775</v>
      </c>
    </row>
    <row r="48" spans="2:26" x14ac:dyDescent="0.3">
      <c r="B48" s="375">
        <f t="shared" si="8"/>
        <v>2037</v>
      </c>
      <c r="C48" s="376">
        <f>TT_Savings!J26</f>
        <v>16074.771492329037</v>
      </c>
      <c r="D48" s="377">
        <f>'Maint Delays Avoidance'!I30</f>
        <v>3054.0869795879607</v>
      </c>
      <c r="E48" s="377">
        <f>'DMS Delay Avoidance'!I28</f>
        <v>17398.286437596456</v>
      </c>
      <c r="F48" s="377">
        <f>SignalCoord!F28</f>
        <v>761.73133204067892</v>
      </c>
      <c r="G48" s="149">
        <f t="shared" si="13"/>
        <v>1.131456371797477</v>
      </c>
      <c r="H48" s="378">
        <f t="shared" si="9"/>
        <v>18900</v>
      </c>
      <c r="I48" s="149">
        <f t="shared" si="10"/>
        <v>21384.525426972315</v>
      </c>
      <c r="J48" s="149">
        <f t="shared" si="14"/>
        <v>4.075674173201866E-2</v>
      </c>
      <c r="K48" s="379">
        <f>VLOOKUP(B48,'Emissions Rates'!E100:I129,4)</f>
        <v>907600</v>
      </c>
      <c r="L48" s="150">
        <f t="shared" si="11"/>
        <v>36990.818795980136</v>
      </c>
      <c r="M48" s="149">
        <f t="shared" si="15"/>
        <v>0.7105395367828139</v>
      </c>
      <c r="N48" s="379">
        <f t="shared" si="12"/>
        <v>73</v>
      </c>
      <c r="O48" s="149">
        <f t="shared" si="16"/>
        <v>51.869386185145416</v>
      </c>
      <c r="P48" s="380">
        <f t="shared" si="17"/>
        <v>32</v>
      </c>
      <c r="Q48" s="380">
        <f t="shared" si="18"/>
        <v>19774</v>
      </c>
      <c r="R48" s="316">
        <f t="shared" si="19"/>
        <v>19806</v>
      </c>
    </row>
    <row r="49" spans="2:20" x14ac:dyDescent="0.3">
      <c r="B49" s="375">
        <f t="shared" si="8"/>
        <v>2038</v>
      </c>
      <c r="C49" s="376">
        <f>TT_Savings!J27</f>
        <v>16396.266922175619</v>
      </c>
      <c r="D49" s="377">
        <f>'Maint Delays Avoidance'!I31</f>
        <v>3115.16871917972</v>
      </c>
      <c r="E49" s="377">
        <f>'DMS Delay Avoidance'!I29</f>
        <v>17746.252166348386</v>
      </c>
      <c r="F49" s="377">
        <f>SignalCoord!F29</f>
        <v>776.96595868149245</v>
      </c>
      <c r="G49" s="149">
        <f t="shared" si="13"/>
        <v>1.1540854992334268</v>
      </c>
      <c r="H49" s="378">
        <f t="shared" si="9"/>
        <v>18900</v>
      </c>
      <c r="I49" s="149">
        <f t="shared" si="10"/>
        <v>21812.215935511769</v>
      </c>
      <c r="J49" s="149">
        <f t="shared" si="14"/>
        <v>4.1571876566659047E-2</v>
      </c>
      <c r="K49" s="379">
        <f>VLOOKUP(B49,'Emissions Rates'!E101:I130,4)</f>
        <v>907600</v>
      </c>
      <c r="L49" s="150">
        <f t="shared" si="11"/>
        <v>37730.635171899754</v>
      </c>
      <c r="M49" s="149">
        <f t="shared" si="15"/>
        <v>0.72475032751847035</v>
      </c>
      <c r="N49" s="379">
        <f t="shared" si="12"/>
        <v>74</v>
      </c>
      <c r="O49" s="149">
        <f t="shared" si="16"/>
        <v>53.631524236366808</v>
      </c>
      <c r="P49" s="380">
        <f t="shared" si="17"/>
        <v>32</v>
      </c>
      <c r="Q49" s="380">
        <f t="shared" si="18"/>
        <v>18850</v>
      </c>
      <c r="R49" s="316">
        <f t="shared" si="19"/>
        <v>18882</v>
      </c>
    </row>
    <row r="50" spans="2:20" x14ac:dyDescent="0.3">
      <c r="B50" s="375">
        <f t="shared" si="8"/>
        <v>2039</v>
      </c>
      <c r="C50" s="376">
        <f>TT_Savings!J28</f>
        <v>16724.192260619133</v>
      </c>
      <c r="D50" s="377">
        <f>'Maint Delays Avoidance'!I32</f>
        <v>3177.4720935633145</v>
      </c>
      <c r="E50" s="377">
        <f>'DMS Delay Avoidance'!I30</f>
        <v>18101.177209675352</v>
      </c>
      <c r="F50" s="377">
        <f>SignalCoord!F30</f>
        <v>792.50527785512236</v>
      </c>
      <c r="G50" s="149">
        <f t="shared" si="13"/>
        <v>1.1771672092180951</v>
      </c>
      <c r="H50" s="378">
        <f t="shared" si="9"/>
        <v>18900</v>
      </c>
      <c r="I50" s="149">
        <f t="shared" si="10"/>
        <v>22248.460254221998</v>
      </c>
      <c r="J50" s="149">
        <f t="shared" si="14"/>
        <v>4.2403314097992223E-2</v>
      </c>
      <c r="K50" s="379">
        <f>VLOOKUP(B50,'Emissions Rates'!E102:I131,4)</f>
        <v>907600</v>
      </c>
      <c r="L50" s="150">
        <f t="shared" si="11"/>
        <v>38485.247875337744</v>
      </c>
      <c r="M50" s="149">
        <f t="shared" si="15"/>
        <v>0.73924533406883974</v>
      </c>
      <c r="N50" s="379">
        <f t="shared" si="12"/>
        <v>75</v>
      </c>
      <c r="O50" s="149">
        <f t="shared" si="16"/>
        <v>55.443400055162982</v>
      </c>
      <c r="P50" s="380">
        <f t="shared" si="17"/>
        <v>33</v>
      </c>
      <c r="Q50" s="380">
        <f t="shared" si="18"/>
        <v>17969</v>
      </c>
      <c r="R50" s="316">
        <f t="shared" si="19"/>
        <v>18002</v>
      </c>
    </row>
    <row r="51" spans="2:20" x14ac:dyDescent="0.3">
      <c r="B51" s="375">
        <f t="shared" si="8"/>
        <v>2040</v>
      </c>
      <c r="C51" s="376">
        <f>TT_Savings!J29</f>
        <v>17058.676105831513</v>
      </c>
      <c r="D51" s="377">
        <f>'Maint Delays Avoidance'!I33</f>
        <v>3241.0215354345805</v>
      </c>
      <c r="E51" s="377">
        <f>'DMS Delay Avoidance'!I31</f>
        <v>18463.200753868859</v>
      </c>
      <c r="F51" s="377">
        <f>SignalCoord!F31</f>
        <v>808.3553834122248</v>
      </c>
      <c r="G51" s="149">
        <f t="shared" si="13"/>
        <v>1.2007105534024569</v>
      </c>
      <c r="H51" s="378">
        <f t="shared" si="9"/>
        <v>18900</v>
      </c>
      <c r="I51" s="149">
        <f t="shared" si="10"/>
        <v>22693.429459306437</v>
      </c>
      <c r="J51" s="149">
        <f t="shared" si="14"/>
        <v>4.3251380379952055E-2</v>
      </c>
      <c r="K51" s="379">
        <f>VLOOKUP(B51,'Emissions Rates'!E103:I132,4)</f>
        <v>907600</v>
      </c>
      <c r="L51" s="150">
        <f t="shared" si="11"/>
        <v>39254.952832844487</v>
      </c>
      <c r="M51" s="149">
        <f t="shared" si="15"/>
        <v>0.7540302407502163</v>
      </c>
      <c r="N51" s="379">
        <f t="shared" si="12"/>
        <v>76</v>
      </c>
      <c r="O51" s="149">
        <f t="shared" si="16"/>
        <v>57.30629829701644</v>
      </c>
      <c r="P51" s="380">
        <f t="shared" si="17"/>
        <v>33</v>
      </c>
      <c r="Q51" s="380">
        <f t="shared" si="18"/>
        <v>17129</v>
      </c>
      <c r="R51" s="316">
        <f t="shared" si="19"/>
        <v>17162</v>
      </c>
    </row>
    <row r="52" spans="2:20" x14ac:dyDescent="0.3">
      <c r="B52" s="375">
        <f t="shared" si="8"/>
        <v>2041</v>
      </c>
      <c r="C52" s="376">
        <f>TT_Savings!J30</f>
        <v>17399.849627948141</v>
      </c>
      <c r="D52" s="377">
        <f>'Maint Delays Avoidance'!I34</f>
        <v>3305.8419661432722</v>
      </c>
      <c r="E52" s="377">
        <f>'DMS Delay Avoidance'!I32</f>
        <v>18832.46476894624</v>
      </c>
      <c r="F52" s="377">
        <f>SignalCoord!F32</f>
        <v>824.52249108046942</v>
      </c>
      <c r="G52" s="149">
        <f t="shared" si="13"/>
        <v>1.2247247644705059</v>
      </c>
      <c r="H52" s="378">
        <f t="shared" si="9"/>
        <v>18900</v>
      </c>
      <c r="I52" s="149">
        <f t="shared" si="10"/>
        <v>23147.298048492561</v>
      </c>
      <c r="J52" s="149">
        <f t="shared" si="14"/>
        <v>4.41164079875511E-2</v>
      </c>
      <c r="K52" s="379">
        <f>VLOOKUP(B52,'Emissions Rates'!E104:I133,4)</f>
        <v>907600</v>
      </c>
      <c r="L52" s="150">
        <f t="shared" si="11"/>
        <v>40040.051889501381</v>
      </c>
      <c r="M52" s="149">
        <f t="shared" si="15"/>
        <v>0.76911084556522069</v>
      </c>
      <c r="N52" s="379">
        <f t="shared" si="12"/>
        <v>78</v>
      </c>
      <c r="O52" s="149">
        <f t="shared" si="16"/>
        <v>59.990645954087213</v>
      </c>
      <c r="P52" s="380">
        <f t="shared" si="17"/>
        <v>33</v>
      </c>
      <c r="Q52" s="380">
        <f t="shared" si="18"/>
        <v>16329</v>
      </c>
      <c r="R52" s="316">
        <f t="shared" si="19"/>
        <v>16362</v>
      </c>
    </row>
    <row r="53" spans="2:20" x14ac:dyDescent="0.3">
      <c r="B53" s="375">
        <f t="shared" si="8"/>
        <v>2042</v>
      </c>
      <c r="C53" s="376">
        <f>TT_Savings!J31</f>
        <v>17747.846620507105</v>
      </c>
      <c r="D53" s="377">
        <f>'Maint Delays Avoidance'!I35</f>
        <v>3371.9588054661385</v>
      </c>
      <c r="E53" s="377">
        <f>'DMS Delay Avoidance'!I33</f>
        <v>19209.114064325167</v>
      </c>
      <c r="F53" s="377">
        <f>SignalCoord!F33</f>
        <v>841.01294090207875</v>
      </c>
      <c r="G53" s="149">
        <f t="shared" si="13"/>
        <v>1.2492192597599168</v>
      </c>
      <c r="H53" s="378">
        <f t="shared" si="9"/>
        <v>18900</v>
      </c>
      <c r="I53" s="149">
        <f t="shared" si="10"/>
        <v>23610.244009462425</v>
      </c>
      <c r="J53" s="149">
        <f t="shared" si="14"/>
        <v>4.499873614730214E-2</v>
      </c>
      <c r="K53" s="379">
        <f>VLOOKUP(B53,'Emissions Rates'!E105:I134,4)</f>
        <v>907600</v>
      </c>
      <c r="L53" s="150">
        <f t="shared" si="11"/>
        <v>40840.852927291424</v>
      </c>
      <c r="M53" s="149">
        <f t="shared" si="15"/>
        <v>0.7844930624765255</v>
      </c>
      <c r="N53" s="379">
        <f t="shared" si="12"/>
        <v>79</v>
      </c>
      <c r="O53" s="149">
        <f t="shared" si="16"/>
        <v>61.974951935645514</v>
      </c>
      <c r="P53" s="380">
        <f t="shared" si="17"/>
        <v>33</v>
      </c>
      <c r="Q53" s="380">
        <f t="shared" si="18"/>
        <v>15566</v>
      </c>
      <c r="R53" s="316">
        <f t="shared" si="19"/>
        <v>15599</v>
      </c>
    </row>
    <row r="54" spans="2:20" x14ac:dyDescent="0.3">
      <c r="B54" s="375">
        <f t="shared" si="8"/>
        <v>2043</v>
      </c>
      <c r="C54" s="376">
        <f>TT_Savings!J32</f>
        <v>18102.803552917248</v>
      </c>
      <c r="D54" s="377">
        <f>'Maint Delays Avoidance'!I36</f>
        <v>3439.3979815754606</v>
      </c>
      <c r="E54" s="377">
        <f>'DMS Delay Avoidance'!I34</f>
        <v>19593.296345611667</v>
      </c>
      <c r="F54" s="377">
        <f>SignalCoord!F34</f>
        <v>857.83319972012021</v>
      </c>
      <c r="G54" s="149">
        <f t="shared" si="13"/>
        <v>1.2742036449551146</v>
      </c>
      <c r="H54" s="378">
        <f t="shared" si="9"/>
        <v>18900</v>
      </c>
      <c r="I54" s="149">
        <f t="shared" si="10"/>
        <v>24082.448889651667</v>
      </c>
      <c r="J54" s="149">
        <f t="shared" si="14"/>
        <v>4.5898710870248174E-2</v>
      </c>
      <c r="K54" s="379">
        <f>VLOOKUP(B54,'Emissions Rates'!E106:I135,4)</f>
        <v>907600</v>
      </c>
      <c r="L54" s="150">
        <f t="shared" si="11"/>
        <v>41657.669985837245</v>
      </c>
      <c r="M54" s="149">
        <f t="shared" si="15"/>
        <v>0.80018292372605571</v>
      </c>
      <c r="N54" s="379">
        <f t="shared" si="12"/>
        <v>80</v>
      </c>
      <c r="O54" s="149">
        <f t="shared" si="16"/>
        <v>64.014633898084455</v>
      </c>
      <c r="P54" s="380">
        <f t="shared" si="17"/>
        <v>33</v>
      </c>
      <c r="Q54" s="380">
        <f t="shared" si="18"/>
        <v>14838</v>
      </c>
      <c r="R54" s="316">
        <f t="shared" si="19"/>
        <v>14871</v>
      </c>
      <c r="T54" s="98" t="s">
        <v>618</v>
      </c>
    </row>
    <row r="55" spans="2:20" x14ac:dyDescent="0.3">
      <c r="B55" s="375">
        <f t="shared" si="8"/>
        <v>2044</v>
      </c>
      <c r="C55" s="376">
        <f>TT_Savings!J33</f>
        <v>18464.859623975593</v>
      </c>
      <c r="D55" s="377">
        <f>'Maint Delays Avoidance'!I37</f>
        <v>3508.1859412069693</v>
      </c>
      <c r="E55" s="377">
        <f>'DMS Delay Avoidance'!I35</f>
        <v>19985.162272523903</v>
      </c>
      <c r="F55" s="377">
        <f>SignalCoord!F35</f>
        <v>874.9898637145227</v>
      </c>
      <c r="G55" s="149">
        <f t="shared" si="13"/>
        <v>1.299687717854217</v>
      </c>
      <c r="H55" s="378">
        <f t="shared" si="9"/>
        <v>18900</v>
      </c>
      <c r="I55" s="149">
        <f t="shared" si="10"/>
        <v>24564.0978674447</v>
      </c>
      <c r="J55" s="149">
        <f t="shared" si="14"/>
        <v>4.6816685087653138E-2</v>
      </c>
      <c r="K55" s="379">
        <f>VLOOKUP(B55,'Emissions Rates'!E107:I136,4)</f>
        <v>907600</v>
      </c>
      <c r="L55" s="150">
        <f t="shared" si="11"/>
        <v>42490.823385553987</v>
      </c>
      <c r="M55" s="149">
        <f t="shared" si="15"/>
        <v>0.81618658220057694</v>
      </c>
      <c r="N55" s="379">
        <f t="shared" si="12"/>
        <v>81</v>
      </c>
      <c r="O55" s="149">
        <f t="shared" si="16"/>
        <v>66.111113158246738</v>
      </c>
      <c r="P55" s="380">
        <f t="shared" si="17"/>
        <v>33</v>
      </c>
      <c r="Q55" s="380">
        <f t="shared" si="18"/>
        <v>14145</v>
      </c>
      <c r="R55" s="316">
        <f t="shared" si="19"/>
        <v>14178</v>
      </c>
    </row>
    <row r="56" spans="2:20" x14ac:dyDescent="0.3">
      <c r="B56" s="375">
        <f t="shared" si="8"/>
        <v>2045</v>
      </c>
      <c r="C56" s="376">
        <f>TT_Savings!J34</f>
        <v>18834.156816455106</v>
      </c>
      <c r="D56" s="377">
        <f>'Maint Delays Avoidance'!I38</f>
        <v>3578.3496600311096</v>
      </c>
      <c r="E56" s="377">
        <f>'DMS Delay Avoidance'!I36</f>
        <v>20384.865517974384</v>
      </c>
      <c r="F56" s="377">
        <f>SignalCoord!F36</f>
        <v>892.48966098881306</v>
      </c>
      <c r="G56" s="149">
        <f t="shared" si="13"/>
        <v>1.3256814722113015</v>
      </c>
      <c r="H56" s="378">
        <f t="shared" si="9"/>
        <v>18900</v>
      </c>
      <c r="I56" s="149">
        <f t="shared" si="10"/>
        <v>25055.379824793599</v>
      </c>
      <c r="J56" s="149">
        <f t="shared" si="14"/>
        <v>4.7753018789406208E-2</v>
      </c>
      <c r="K56" s="379">
        <f>VLOOKUP(B56,'Emissions Rates'!E108:I137,4)</f>
        <v>907600</v>
      </c>
      <c r="L56" s="150">
        <f t="shared" si="11"/>
        <v>43340.639853265078</v>
      </c>
      <c r="M56" s="149">
        <f t="shared" si="15"/>
        <v>0.83251031384458851</v>
      </c>
      <c r="N56" s="379">
        <f t="shared" si="12"/>
        <v>82</v>
      </c>
      <c r="O56" s="149">
        <f t="shared" si="16"/>
        <v>68.265845735256264</v>
      </c>
      <c r="P56" s="380">
        <f t="shared" si="17"/>
        <v>34</v>
      </c>
      <c r="Q56" s="380">
        <f t="shared" si="18"/>
        <v>13484</v>
      </c>
      <c r="R56" s="316">
        <f t="shared" si="19"/>
        <v>13518</v>
      </c>
    </row>
    <row r="57" spans="2:20" x14ac:dyDescent="0.3">
      <c r="B57" s="375">
        <f t="shared" si="8"/>
        <v>2046</v>
      </c>
      <c r="C57" s="376">
        <f>TT_Savings!J35</f>
        <v>19210.839952784208</v>
      </c>
      <c r="D57" s="377">
        <f>'Maint Delays Avoidance'!I39</f>
        <v>3649.9166532317313</v>
      </c>
      <c r="E57" s="377">
        <f>'DMS Delay Avoidance'!I37</f>
        <v>20792.562828333866</v>
      </c>
      <c r="F57" s="377">
        <f>SignalCoord!F37</f>
        <v>910.33945420858936</v>
      </c>
      <c r="G57" s="149">
        <f t="shared" si="13"/>
        <v>1.3521951016555274</v>
      </c>
      <c r="H57" s="378">
        <f t="shared" si="9"/>
        <v>18900</v>
      </c>
      <c r="I57" s="149">
        <f t="shared" si="10"/>
        <v>25556.487421289468</v>
      </c>
      <c r="J57" s="149">
        <f t="shared" si="14"/>
        <v>4.8708079165194325E-2</v>
      </c>
      <c r="K57" s="379">
        <f>VLOOKUP(B57,'Emissions Rates'!E109:I138,4)</f>
        <v>907600</v>
      </c>
      <c r="L57" s="150">
        <f t="shared" si="11"/>
        <v>44207.452650330371</v>
      </c>
      <c r="M57" s="149">
        <f t="shared" si="15"/>
        <v>0.84916052012148013</v>
      </c>
      <c r="N57" s="379">
        <f t="shared" si="12"/>
        <v>84</v>
      </c>
      <c r="O57" s="149">
        <f t="shared" si="16"/>
        <v>71.329483690204327</v>
      </c>
      <c r="P57" s="380">
        <f t="shared" si="17"/>
        <v>34</v>
      </c>
      <c r="Q57" s="380">
        <f t="shared" si="18"/>
        <v>12854</v>
      </c>
      <c r="R57" s="316">
        <f t="shared" si="19"/>
        <v>12888</v>
      </c>
    </row>
    <row r="58" spans="2:20" ht="13.5" thickBot="1" x14ac:dyDescent="0.35">
      <c r="B58" s="381">
        <f t="shared" si="8"/>
        <v>2047</v>
      </c>
      <c r="C58" s="382">
        <f>TT_Savings!J36</f>
        <v>19595.056751839889</v>
      </c>
      <c r="D58" s="383">
        <f>'Maint Delays Avoidance'!I40</f>
        <v>3722.9149862963664</v>
      </c>
      <c r="E58" s="383">
        <f>'DMS Delay Avoidance'!I38</f>
        <v>21208.414084900545</v>
      </c>
      <c r="F58" s="383">
        <f>SignalCoord!F38</f>
        <v>928.54624329276123</v>
      </c>
      <c r="G58" s="317">
        <f t="shared" si="13"/>
        <v>1.3792390036886379</v>
      </c>
      <c r="H58" s="384">
        <f t="shared" si="9"/>
        <v>18900</v>
      </c>
      <c r="I58" s="317">
        <f t="shared" si="10"/>
        <v>26067.617169715257</v>
      </c>
      <c r="J58" s="317">
        <f t="shared" si="14"/>
        <v>4.968224074849821E-2</v>
      </c>
      <c r="K58" s="385">
        <f>VLOOKUP(B58,'Emissions Rates'!E110:I139,4)</f>
        <v>907600</v>
      </c>
      <c r="L58" s="318">
        <f t="shared" si="11"/>
        <v>45091.601703336979</v>
      </c>
      <c r="M58" s="317">
        <f t="shared" si="15"/>
        <v>0.86614373052390981</v>
      </c>
      <c r="N58" s="385">
        <f t="shared" si="12"/>
        <v>85</v>
      </c>
      <c r="O58" s="317">
        <f t="shared" si="16"/>
        <v>73.622217094532331</v>
      </c>
      <c r="P58" s="386">
        <f t="shared" si="17"/>
        <v>34</v>
      </c>
      <c r="Q58" s="386">
        <f t="shared" si="18"/>
        <v>12253</v>
      </c>
      <c r="R58" s="319">
        <f t="shared" si="19"/>
        <v>12287</v>
      </c>
    </row>
    <row r="59" spans="2:20" x14ac:dyDescent="0.3">
      <c r="M59" s="389">
        <f>SUM(M39:M58)</f>
        <v>14.445945306032442</v>
      </c>
      <c r="R59" s="151">
        <f>SUM(R39:R58)</f>
        <v>400169</v>
      </c>
    </row>
  </sheetData>
  <sheetProtection algorithmName="SHA-512" hashValue="8xRv8Wkzwh6z4V0YF8K/aXWVtH2sKRNgaYGRAJSZzWUbXZKoQf9GMELeWX3GAUQccrezl6E+nttoY25CSKEffQ==" saltValue="WF+EkCjktecyyv61MZcKtg==" spinCount="100000" sheet="1" objects="1" scenarios="1"/>
  <pageMargins left="0.7" right="0.7" top="0.75" bottom="0.75" header="0.3" footer="0.3"/>
  <pageSetup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D540E-5A63-4DF5-9D66-B15D45E06B94}">
  <dimension ref="A1:AO68"/>
  <sheetViews>
    <sheetView topLeftCell="A3" workbookViewId="0">
      <selection activeCell="E12" sqref="E12"/>
    </sheetView>
  </sheetViews>
  <sheetFormatPr defaultRowHeight="14.5" x14ac:dyDescent="0.35"/>
  <cols>
    <col min="1" max="1" width="38.54296875" style="9" customWidth="1"/>
    <col min="2" max="2" width="10.26953125" customWidth="1"/>
    <col min="3" max="3" width="11.453125" customWidth="1"/>
    <col min="4" max="4" width="14" customWidth="1"/>
    <col min="5" max="5" width="14.54296875" customWidth="1"/>
    <col min="6" max="6" width="12.26953125" customWidth="1"/>
    <col min="7" max="7" width="11" customWidth="1"/>
    <col min="8" max="8" width="17.26953125" customWidth="1"/>
    <col min="9" max="9" width="18.26953125" customWidth="1"/>
    <col min="10" max="10" width="14.54296875" customWidth="1"/>
    <col min="11" max="11" width="15.7265625" customWidth="1"/>
    <col min="12" max="12" width="18" customWidth="1"/>
    <col min="13" max="13" width="17.26953125" customWidth="1"/>
    <col min="14" max="14" width="18.26953125" customWidth="1"/>
    <col min="15" max="15" width="14.54296875" customWidth="1"/>
    <col min="16" max="16" width="15.7265625" customWidth="1"/>
    <col min="17" max="17" width="18" customWidth="1"/>
    <col min="18" max="18" width="17.26953125" customWidth="1"/>
    <col min="19" max="19" width="18.26953125" customWidth="1"/>
    <col min="20" max="20" width="14.54296875" customWidth="1"/>
    <col min="21" max="21" width="15.7265625" customWidth="1"/>
    <col min="22" max="22" width="18" customWidth="1"/>
    <col min="23" max="23" width="17.26953125" customWidth="1"/>
    <col min="24" max="24" width="18.26953125" customWidth="1"/>
    <col min="25" max="25" width="14.54296875" customWidth="1"/>
    <col min="26" max="26" width="15.7265625" customWidth="1"/>
    <col min="27" max="27" width="18" customWidth="1"/>
    <col min="28" max="28" width="17.26953125" customWidth="1"/>
    <col min="29" max="29" width="18.26953125" customWidth="1"/>
    <col min="30" max="30" width="14.54296875" customWidth="1"/>
    <col min="31" max="31" width="15.7265625" customWidth="1"/>
    <col min="32" max="32" width="18" customWidth="1"/>
    <col min="33" max="33" width="17.26953125" customWidth="1"/>
    <col min="34" max="34" width="18.26953125" customWidth="1"/>
    <col min="35" max="35" width="14.54296875" customWidth="1"/>
    <col min="36" max="36" width="15.7265625" customWidth="1"/>
    <col min="37" max="37" width="18" customWidth="1"/>
    <col min="38" max="38" width="17.26953125" customWidth="1"/>
    <col min="39" max="39" width="18.26953125" customWidth="1"/>
    <col min="40" max="40" width="14.54296875" customWidth="1"/>
    <col min="41" max="41" width="15.7265625" customWidth="1"/>
    <col min="42" max="42" width="18" customWidth="1"/>
    <col min="43" max="43" width="17.26953125" customWidth="1"/>
    <col min="44" max="44" width="18.26953125" customWidth="1"/>
    <col min="45" max="45" width="14.54296875" customWidth="1"/>
    <col min="46" max="46" width="15.7265625" customWidth="1"/>
    <col min="47" max="47" width="18" customWidth="1"/>
    <col min="48" max="48" width="17.26953125" customWidth="1"/>
    <col min="49" max="49" width="18.26953125" customWidth="1"/>
    <col min="50" max="50" width="14.54296875" customWidth="1"/>
    <col min="51" max="51" width="15.7265625" customWidth="1"/>
    <col min="52" max="52" width="18" customWidth="1"/>
    <col min="53" max="53" width="17.26953125" customWidth="1"/>
    <col min="54" max="54" width="18.26953125" customWidth="1"/>
    <col min="55" max="55" width="14.54296875" customWidth="1"/>
    <col min="56" max="56" width="15.7265625" customWidth="1"/>
    <col min="57" max="57" width="18" customWidth="1"/>
    <col min="58" max="58" width="17.26953125" customWidth="1"/>
    <col min="59" max="59" width="18.26953125" customWidth="1"/>
    <col min="60" max="60" width="14.54296875" customWidth="1"/>
    <col min="61" max="61" width="15.7265625" customWidth="1"/>
  </cols>
  <sheetData>
    <row r="1" spans="1:8" x14ac:dyDescent="0.35">
      <c r="A1" s="5" t="s">
        <v>619</v>
      </c>
    </row>
    <row r="3" spans="1:8" x14ac:dyDescent="0.35">
      <c r="A3" s="177" t="str">
        <f>Inputs!A3</f>
        <v xml:space="preserve">Discount Rate </v>
      </c>
      <c r="B3" s="176">
        <f>Inputs!B3</f>
        <v>7.0000000000000007E-2</v>
      </c>
    </row>
    <row r="4" spans="1:8" x14ac:dyDescent="0.35">
      <c r="A4" s="177" t="str">
        <f>Inputs!A10</f>
        <v>Discount year</v>
      </c>
      <c r="B4" s="60">
        <f>Inputs!B10</f>
        <v>2021</v>
      </c>
    </row>
    <row r="5" spans="1:8" x14ac:dyDescent="0.35">
      <c r="A5" s="177" t="str">
        <f>Inputs!A6</f>
        <v xml:space="preserve">Begin Construction year </v>
      </c>
      <c r="B5" s="60">
        <f>Inputs!B6</f>
        <v>2023</v>
      </c>
    </row>
    <row r="6" spans="1:8" x14ac:dyDescent="0.35">
      <c r="A6" s="177" t="str">
        <f>Inputs!A7</f>
        <v xml:space="preserve">Complete Construction year </v>
      </c>
      <c r="B6" s="60">
        <f>Inputs!B7</f>
        <v>2027</v>
      </c>
    </row>
    <row r="7" spans="1:8" x14ac:dyDescent="0.35">
      <c r="A7" s="177" t="str">
        <f>Inputs!A11</f>
        <v>Benefit Year</v>
      </c>
      <c r="B7" s="60">
        <f>Inputs!B11</f>
        <v>2028</v>
      </c>
    </row>
    <row r="8" spans="1:8" x14ac:dyDescent="0.35">
      <c r="A8" s="177" t="str">
        <f>Inputs!A16</f>
        <v>Annual Growth Rate (CAGR)</v>
      </c>
      <c r="B8" s="40">
        <f>Inputs!B16</f>
        <v>0.02</v>
      </c>
    </row>
    <row r="9" spans="1:8" x14ac:dyDescent="0.35">
      <c r="A9" s="177" t="s">
        <v>620</v>
      </c>
      <c r="B9" s="321">
        <v>2</v>
      </c>
    </row>
    <row r="10" spans="1:8" ht="29" x14ac:dyDescent="0.35">
      <c r="A10" s="177" t="s">
        <v>621</v>
      </c>
      <c r="B10" s="337">
        <f>Inputs!B50</f>
        <v>0.11</v>
      </c>
    </row>
    <row r="11" spans="1:8" x14ac:dyDescent="0.35">
      <c r="A11" s="177" t="s">
        <v>622</v>
      </c>
      <c r="B11" s="33">
        <f>Inputs!B51</f>
        <v>7.2</v>
      </c>
    </row>
    <row r="12" spans="1:8" x14ac:dyDescent="0.35">
      <c r="A12" s="177" t="s">
        <v>623</v>
      </c>
      <c r="B12" s="33">
        <f>Inputs!B52</f>
        <v>6.42</v>
      </c>
    </row>
    <row r="13" spans="1:8" x14ac:dyDescent="0.35">
      <c r="A13" s="177" t="s">
        <v>624</v>
      </c>
      <c r="B13" s="321">
        <f>'AT User Data'!AB8</f>
        <v>8081.6666666666661</v>
      </c>
      <c r="H13" s="31"/>
    </row>
    <row r="14" spans="1:8" x14ac:dyDescent="0.35">
      <c r="A14" s="177" t="s">
        <v>625</v>
      </c>
      <c r="B14" s="322">
        <v>0.89</v>
      </c>
      <c r="C14" t="s">
        <v>626</v>
      </c>
      <c r="H14" s="31"/>
    </row>
    <row r="15" spans="1:8" x14ac:dyDescent="0.35">
      <c r="A15" s="177" t="s">
        <v>627</v>
      </c>
      <c r="B15" s="41">
        <f>Inputs!B53</f>
        <v>6</v>
      </c>
    </row>
    <row r="16" spans="1:8" x14ac:dyDescent="0.35">
      <c r="A16" s="177" t="s">
        <v>628</v>
      </c>
      <c r="B16" s="41">
        <f>Inputs!B54</f>
        <v>2</v>
      </c>
    </row>
    <row r="17" spans="1:41" ht="12.75" customHeight="1" x14ac:dyDescent="0.35">
      <c r="A17" s="177" t="s">
        <v>629</v>
      </c>
      <c r="B17" s="322">
        <f>SUM(B16/B15)</f>
        <v>0.33333333333333331</v>
      </c>
      <c r="C17" s="68"/>
    </row>
    <row r="18" spans="1:41" x14ac:dyDescent="0.35">
      <c r="A18" s="177" t="str">
        <f>Inputs!$A$14</f>
        <v>Annualization Factor</v>
      </c>
      <c r="B18" s="30">
        <f>Inputs!$B$14</f>
        <v>320</v>
      </c>
    </row>
    <row r="19" spans="1:41" x14ac:dyDescent="0.35">
      <c r="A19" s="30"/>
      <c r="B19" s="30"/>
    </row>
    <row r="20" spans="1:41" x14ac:dyDescent="0.35">
      <c r="AN20" s="7"/>
      <c r="AO20" s="7"/>
    </row>
    <row r="21" spans="1:41" x14ac:dyDescent="0.35">
      <c r="A21" s="328" t="s">
        <v>630</v>
      </c>
      <c r="B21" s="30"/>
      <c r="C21" s="30"/>
      <c r="D21" s="30"/>
      <c r="E21" s="30"/>
      <c r="F21" s="203"/>
      <c r="G21" s="7"/>
    </row>
    <row r="22" spans="1:41" ht="72.5" x14ac:dyDescent="0.35">
      <c r="A22" s="71" t="s">
        <v>144</v>
      </c>
      <c r="B22" s="71" t="s">
        <v>145</v>
      </c>
      <c r="C22" s="71" t="s">
        <v>631</v>
      </c>
      <c r="D22" s="71" t="s">
        <v>632</v>
      </c>
      <c r="E22" s="71" t="s">
        <v>633</v>
      </c>
      <c r="F22" s="68"/>
    </row>
    <row r="23" spans="1:41" ht="14.65" customHeight="1" x14ac:dyDescent="0.35">
      <c r="A23" s="301">
        <f>IF((B23&gt;(Inputs!$B$7+Inputs!$B$8)),0,IF((B23&lt;Inputs!$B$7),0,((B23-Inputs!$B$7))))</f>
        <v>1</v>
      </c>
      <c r="B23" s="302">
        <f>B7</f>
        <v>2028</v>
      </c>
      <c r="C23" s="303">
        <f>SUM(B13*B14)</f>
        <v>7192.6833333333325</v>
      </c>
      <c r="D23" s="303">
        <f>SUM(C23*$B$10*$B$9)</f>
        <v>1582.390333333333</v>
      </c>
      <c r="E23" s="222">
        <f t="shared" ref="E23:E42" si="0">ROUND(D23/((1+B$3)^($B23-$B$4)),0)</f>
        <v>985</v>
      </c>
      <c r="F23" s="68"/>
    </row>
    <row r="24" spans="1:41" ht="14.65" customHeight="1" x14ac:dyDescent="0.35">
      <c r="A24" s="301">
        <f>IF((B24&gt;(Inputs!$B$7+Inputs!$B$8)),0,IF((B24&lt;Inputs!$B$7),0,((B24-Inputs!$B$7))))</f>
        <v>2</v>
      </c>
      <c r="B24" s="302">
        <f t="shared" ref="B24:B42" si="1">B23+1</f>
        <v>2029</v>
      </c>
      <c r="C24" s="303">
        <f>C23*(1+$B$8)</f>
        <v>7336.5369999999994</v>
      </c>
      <c r="D24" s="303">
        <f t="shared" ref="D24:D42" si="2">SUM(C24*$B$10*$B$9)</f>
        <v>1614.0381399999999</v>
      </c>
      <c r="E24" s="222">
        <f t="shared" si="0"/>
        <v>939</v>
      </c>
      <c r="F24" s="68"/>
    </row>
    <row r="25" spans="1:41" x14ac:dyDescent="0.35">
      <c r="A25" s="301">
        <f>IF((B25&gt;(Inputs!$B$7+Inputs!$B$8)),0,IF((B25&lt;Inputs!$B$7),0,((B25-Inputs!$B$7))))</f>
        <v>3</v>
      </c>
      <c r="B25" s="302">
        <f t="shared" si="1"/>
        <v>2030</v>
      </c>
      <c r="C25" s="303">
        <f t="shared" ref="C25:C41" si="3">C24*(1+$B$8)</f>
        <v>7483.2677399999993</v>
      </c>
      <c r="D25" s="303">
        <f t="shared" si="2"/>
        <v>1646.3189027999999</v>
      </c>
      <c r="E25" s="222">
        <f t="shared" si="0"/>
        <v>895</v>
      </c>
      <c r="F25" s="68"/>
    </row>
    <row r="26" spans="1:41" x14ac:dyDescent="0.35">
      <c r="A26" s="301">
        <f>IF((B26&gt;(Inputs!$B$7+Inputs!$B$8)),0,IF((B26&lt;Inputs!$B$7),0,((B26-Inputs!$B$7))))</f>
        <v>4</v>
      </c>
      <c r="B26" s="302">
        <f t="shared" si="1"/>
        <v>2031</v>
      </c>
      <c r="C26" s="303">
        <f t="shared" si="3"/>
        <v>7632.9330947999997</v>
      </c>
      <c r="D26" s="303">
        <f t="shared" si="2"/>
        <v>1679.2452808559999</v>
      </c>
      <c r="E26" s="222">
        <f t="shared" si="0"/>
        <v>854</v>
      </c>
      <c r="F26" s="68"/>
    </row>
    <row r="27" spans="1:41" x14ac:dyDescent="0.35">
      <c r="A27" s="301">
        <f>IF((B27&gt;(Inputs!$B$7+Inputs!$B$8)),0,IF((B27&lt;Inputs!$B$7),0,((B27-Inputs!$B$7))))</f>
        <v>5</v>
      </c>
      <c r="B27" s="302">
        <f t="shared" si="1"/>
        <v>2032</v>
      </c>
      <c r="C27" s="303">
        <f t="shared" si="3"/>
        <v>7785.5917566959997</v>
      </c>
      <c r="D27" s="303">
        <f t="shared" si="2"/>
        <v>1712.83018647312</v>
      </c>
      <c r="E27" s="222">
        <f t="shared" si="0"/>
        <v>814</v>
      </c>
      <c r="F27" s="68"/>
    </row>
    <row r="28" spans="1:41" x14ac:dyDescent="0.35">
      <c r="A28" s="301">
        <f>IF((B28&gt;(Inputs!$B$7+Inputs!$B$8)),0,IF((B28&lt;Inputs!$B$7),0,((B28-Inputs!$B$7))))</f>
        <v>6</v>
      </c>
      <c r="B28" s="302">
        <f t="shared" si="1"/>
        <v>2033</v>
      </c>
      <c r="C28" s="303">
        <f t="shared" si="3"/>
        <v>7941.3035918299202</v>
      </c>
      <c r="D28" s="303">
        <f t="shared" si="2"/>
        <v>1747.0867902025825</v>
      </c>
      <c r="E28" s="222">
        <f t="shared" si="0"/>
        <v>776</v>
      </c>
      <c r="F28" s="68"/>
    </row>
    <row r="29" spans="1:41" x14ac:dyDescent="0.35">
      <c r="A29" s="301">
        <f>IF((B29&gt;(Inputs!$B$7+Inputs!$B$8)),0,IF((B29&lt;Inputs!$B$7),0,((B29-Inputs!$B$7))))</f>
        <v>7</v>
      </c>
      <c r="B29" s="302">
        <f t="shared" si="1"/>
        <v>2034</v>
      </c>
      <c r="C29" s="303">
        <f t="shared" si="3"/>
        <v>8100.1296636665184</v>
      </c>
      <c r="D29" s="303">
        <f t="shared" si="2"/>
        <v>1782.0285260066341</v>
      </c>
      <c r="E29" s="222">
        <f t="shared" si="0"/>
        <v>739</v>
      </c>
      <c r="F29" s="68"/>
    </row>
    <row r="30" spans="1:41" x14ac:dyDescent="0.35">
      <c r="A30" s="301">
        <f>IF((B30&gt;(Inputs!$B$7+Inputs!$B$8)),0,IF((B30&lt;Inputs!$B$7),0,((B30-Inputs!$B$7))))</f>
        <v>8</v>
      </c>
      <c r="B30" s="302">
        <f t="shared" si="1"/>
        <v>2035</v>
      </c>
      <c r="C30" s="303">
        <f t="shared" si="3"/>
        <v>8262.132256939849</v>
      </c>
      <c r="D30" s="303">
        <f t="shared" si="2"/>
        <v>1817.6690965267667</v>
      </c>
      <c r="E30" s="222">
        <f t="shared" si="0"/>
        <v>705</v>
      </c>
      <c r="F30" s="68"/>
    </row>
    <row r="31" spans="1:41" x14ac:dyDescent="0.35">
      <c r="A31" s="301">
        <f>IF((B31&gt;(Inputs!$B$7+Inputs!$B$8)),0,IF((B31&lt;Inputs!$B$7),0,((B31-Inputs!$B$7))))</f>
        <v>9</v>
      </c>
      <c r="B31" s="302">
        <f t="shared" si="1"/>
        <v>2036</v>
      </c>
      <c r="C31" s="303">
        <f t="shared" si="3"/>
        <v>8427.3749020786454</v>
      </c>
      <c r="D31" s="303">
        <f t="shared" si="2"/>
        <v>1854.022478457302</v>
      </c>
      <c r="E31" s="222">
        <f t="shared" si="0"/>
        <v>672</v>
      </c>
      <c r="F31" s="68"/>
    </row>
    <row r="32" spans="1:41" x14ac:dyDescent="0.35">
      <c r="A32" s="301">
        <f>IF((B32&gt;(Inputs!$B$7+Inputs!$B$8)),0,IF((B32&lt;Inputs!$B$7),0,((B32-Inputs!$B$7))))</f>
        <v>10</v>
      </c>
      <c r="B32" s="302">
        <f t="shared" si="1"/>
        <v>2037</v>
      </c>
      <c r="C32" s="303">
        <f t="shared" si="3"/>
        <v>8595.9224001202183</v>
      </c>
      <c r="D32" s="303">
        <f t="shared" si="2"/>
        <v>1891.1029280264481</v>
      </c>
      <c r="E32" s="222">
        <f t="shared" si="0"/>
        <v>641</v>
      </c>
      <c r="F32" s="68"/>
    </row>
    <row r="33" spans="1:7" x14ac:dyDescent="0.35">
      <c r="A33" s="301">
        <f>IF((B33&gt;(Inputs!$B$7+Inputs!$B$8)),0,IF((B33&lt;Inputs!$B$7),0,((B33-Inputs!$B$7))))</f>
        <v>11</v>
      </c>
      <c r="B33" s="302">
        <f t="shared" si="1"/>
        <v>2038</v>
      </c>
      <c r="C33" s="303">
        <f t="shared" si="3"/>
        <v>8767.8408481226234</v>
      </c>
      <c r="D33" s="303">
        <f t="shared" si="2"/>
        <v>1928.9249865869772</v>
      </c>
      <c r="E33" s="222">
        <f t="shared" si="0"/>
        <v>611</v>
      </c>
      <c r="F33" s="68"/>
    </row>
    <row r="34" spans="1:7" x14ac:dyDescent="0.35">
      <c r="A34" s="301">
        <f>IF((B34&gt;(Inputs!$B$7+Inputs!$B$8)),0,IF((B34&lt;Inputs!$B$7),0,((B34-Inputs!$B$7))))</f>
        <v>12</v>
      </c>
      <c r="B34" s="302">
        <f t="shared" si="1"/>
        <v>2039</v>
      </c>
      <c r="C34" s="303">
        <f t="shared" si="3"/>
        <v>8943.1976650850756</v>
      </c>
      <c r="D34" s="303">
        <f t="shared" si="2"/>
        <v>1967.5034863187166</v>
      </c>
      <c r="E34" s="222">
        <f t="shared" si="0"/>
        <v>582</v>
      </c>
      <c r="F34" s="68"/>
    </row>
    <row r="35" spans="1:7" x14ac:dyDescent="0.35">
      <c r="A35" s="301">
        <f>IF((B35&gt;(Inputs!$B$7+Inputs!$B$8)),0,IF((B35&lt;Inputs!$B$7),0,((B35-Inputs!$B$7))))</f>
        <v>13</v>
      </c>
      <c r="B35" s="302">
        <f t="shared" si="1"/>
        <v>2040</v>
      </c>
      <c r="C35" s="303">
        <f t="shared" si="3"/>
        <v>9122.0616183867769</v>
      </c>
      <c r="D35" s="303">
        <f t="shared" si="2"/>
        <v>2006.853556045091</v>
      </c>
      <c r="E35" s="222">
        <f t="shared" si="0"/>
        <v>555</v>
      </c>
      <c r="F35" s="68"/>
    </row>
    <row r="36" spans="1:7" x14ac:dyDescent="0.35">
      <c r="A36" s="301">
        <f>IF((B36&gt;(Inputs!$B$7+Inputs!$B$8)),0,IF((B36&lt;Inputs!$B$7),0,((B36-Inputs!$B$7))))</f>
        <v>14</v>
      </c>
      <c r="B36" s="302">
        <f t="shared" si="1"/>
        <v>2041</v>
      </c>
      <c r="C36" s="303">
        <f t="shared" si="3"/>
        <v>9304.5028507545121</v>
      </c>
      <c r="D36" s="303">
        <f t="shared" si="2"/>
        <v>2046.9906271659927</v>
      </c>
      <c r="E36" s="222">
        <f t="shared" si="0"/>
        <v>529</v>
      </c>
      <c r="F36" s="68"/>
    </row>
    <row r="37" spans="1:7" x14ac:dyDescent="0.35">
      <c r="A37" s="301">
        <f>IF((B37&gt;(Inputs!$B$7+Inputs!$B$8)),0,IF((B37&lt;Inputs!$B$7),0,((B37-Inputs!$B$7))))</f>
        <v>15</v>
      </c>
      <c r="B37" s="302">
        <f t="shared" si="1"/>
        <v>2042</v>
      </c>
      <c r="C37" s="303">
        <f t="shared" si="3"/>
        <v>9490.5929077696019</v>
      </c>
      <c r="D37" s="303">
        <f t="shared" si="2"/>
        <v>2087.9304397093124</v>
      </c>
      <c r="E37" s="222">
        <f t="shared" si="0"/>
        <v>504</v>
      </c>
      <c r="F37" s="68"/>
    </row>
    <row r="38" spans="1:7" x14ac:dyDescent="0.35">
      <c r="A38" s="301">
        <f>IF((B38&gt;(Inputs!$B$7+Inputs!$B$8)),0,IF((B38&lt;Inputs!$B$7),0,((B38-Inputs!$B$7))))</f>
        <v>16</v>
      </c>
      <c r="B38" s="302">
        <f t="shared" si="1"/>
        <v>2043</v>
      </c>
      <c r="C38" s="303">
        <f t="shared" si="3"/>
        <v>9680.4047659249936</v>
      </c>
      <c r="D38" s="303">
        <f t="shared" si="2"/>
        <v>2129.6890485034987</v>
      </c>
      <c r="E38" s="222">
        <f t="shared" si="0"/>
        <v>481</v>
      </c>
      <c r="F38" s="68"/>
    </row>
    <row r="39" spans="1:7" x14ac:dyDescent="0.35">
      <c r="A39" s="301">
        <f>IF((B39&gt;(Inputs!$B$7+Inputs!$B$8)),0,IF((B39&lt;Inputs!$B$7),0,((B39-Inputs!$B$7))))</f>
        <v>17</v>
      </c>
      <c r="B39" s="302">
        <f t="shared" si="1"/>
        <v>2044</v>
      </c>
      <c r="C39" s="303">
        <f t="shared" si="3"/>
        <v>9874.0128612434928</v>
      </c>
      <c r="D39" s="303">
        <f t="shared" si="2"/>
        <v>2172.2828294735687</v>
      </c>
      <c r="E39" s="222">
        <f t="shared" si="0"/>
        <v>458</v>
      </c>
      <c r="F39" s="68"/>
    </row>
    <row r="40" spans="1:7" x14ac:dyDescent="0.35">
      <c r="A40" s="301">
        <f>IF((B40&gt;(Inputs!$B$7+Inputs!$B$8)),0,IF((B40&lt;Inputs!$B$7),0,((B40-Inputs!$B$7))))</f>
        <v>18</v>
      </c>
      <c r="B40" s="302">
        <f t="shared" si="1"/>
        <v>2045</v>
      </c>
      <c r="C40" s="303">
        <f t="shared" si="3"/>
        <v>10071.493118468363</v>
      </c>
      <c r="D40" s="303">
        <f t="shared" si="2"/>
        <v>2215.7284860630398</v>
      </c>
      <c r="E40" s="222">
        <f t="shared" si="0"/>
        <v>437</v>
      </c>
      <c r="F40" s="68"/>
    </row>
    <row r="41" spans="1:7" x14ac:dyDescent="0.35">
      <c r="A41" s="301">
        <f>IF((B41&gt;(Inputs!$B$7+Inputs!$B$8)),0,IF((B41&lt;Inputs!$B$7),0,((B41-Inputs!$B$7))))</f>
        <v>19</v>
      </c>
      <c r="B41" s="302">
        <f t="shared" si="1"/>
        <v>2046</v>
      </c>
      <c r="C41" s="303">
        <f t="shared" si="3"/>
        <v>10272.922980837729</v>
      </c>
      <c r="D41" s="303">
        <f t="shared" si="2"/>
        <v>2260.0430557843006</v>
      </c>
      <c r="E41" s="222">
        <f t="shared" si="0"/>
        <v>416</v>
      </c>
      <c r="F41" s="68"/>
    </row>
    <row r="42" spans="1:7" x14ac:dyDescent="0.35">
      <c r="A42" s="301">
        <f>IF((B42&gt;(Inputs!$B$7+Inputs!$B$8)),0,IF((B42&lt;Inputs!$B$7),0,((B42-Inputs!$B$7))))</f>
        <v>20</v>
      </c>
      <c r="B42" s="302">
        <f t="shared" si="1"/>
        <v>2047</v>
      </c>
      <c r="C42" s="303">
        <f>C41*(1+$B$8)</f>
        <v>10478.381440454485</v>
      </c>
      <c r="D42" s="303">
        <f t="shared" si="2"/>
        <v>2305.2439168999867</v>
      </c>
      <c r="E42" s="222">
        <f t="shared" si="0"/>
        <v>397</v>
      </c>
      <c r="F42" s="68"/>
    </row>
    <row r="43" spans="1:7" x14ac:dyDescent="0.35">
      <c r="A43" s="301"/>
      <c r="B43" s="302"/>
      <c r="C43" s="314">
        <f>SUM(C23:C42)</f>
        <v>174763.28679651211</v>
      </c>
      <c r="D43" s="255" t="s">
        <v>349</v>
      </c>
      <c r="E43" s="340">
        <f>SUM(E23:E42)</f>
        <v>12990</v>
      </c>
      <c r="F43" s="68"/>
    </row>
    <row r="44" spans="1:7" x14ac:dyDescent="0.35">
      <c r="E44" s="5"/>
    </row>
    <row r="46" spans="1:7" x14ac:dyDescent="0.35">
      <c r="A46" s="139" t="s">
        <v>634</v>
      </c>
      <c r="C46" s="68"/>
      <c r="F46" s="7"/>
      <c r="G46" s="7"/>
    </row>
    <row r="47" spans="1:7" ht="72.5" x14ac:dyDescent="0.35">
      <c r="A47" s="71" t="s">
        <v>144</v>
      </c>
      <c r="B47" s="53" t="s">
        <v>145</v>
      </c>
      <c r="C47" s="53" t="s">
        <v>635</v>
      </c>
      <c r="D47" s="53" t="s">
        <v>636</v>
      </c>
      <c r="E47" s="53" t="s">
        <v>637</v>
      </c>
    </row>
    <row r="48" spans="1:7" x14ac:dyDescent="0.35">
      <c r="A48" s="110">
        <f>IF((B48&gt;(Inputs!$B$7+Inputs!$B$8)),0,IF((B48&lt;Inputs!$B$7),0,((B48-Inputs!$B$7))))</f>
        <v>1</v>
      </c>
      <c r="B48" s="50">
        <v>2028</v>
      </c>
      <c r="C48" s="97">
        <f>SUM(B13*B17)</f>
        <v>2693.8888888888887</v>
      </c>
      <c r="D48" s="387">
        <f>SUM(C48*$B$11)*$B$14</f>
        <v>17262.439999999999</v>
      </c>
      <c r="E48" s="72">
        <f>ROUND(D48/((1+B$3)^($B48-$B$4)),0)</f>
        <v>10750</v>
      </c>
    </row>
    <row r="49" spans="1:5" x14ac:dyDescent="0.35">
      <c r="A49" s="110">
        <f>IF((B49&gt;(Inputs!$B$7+Inputs!$B$8)),0,IF((B49&lt;Inputs!$B$7),0,((B49-Inputs!$B$7))))</f>
        <v>2</v>
      </c>
      <c r="B49" s="50">
        <f t="shared" ref="B49:B67" si="4">B48+1</f>
        <v>2029</v>
      </c>
      <c r="C49" s="97">
        <f t="shared" ref="C49:C67" si="5">C48*(1+$B$8)</f>
        <v>2747.7666666666664</v>
      </c>
      <c r="D49" s="387">
        <f t="shared" ref="D49:D67" si="6">SUM(C49*$B$11)*$B$14</f>
        <v>17607.6888</v>
      </c>
      <c r="E49" s="72">
        <f t="shared" ref="E49:E67" si="7">ROUND(D49/((1+B$3)^($B49-$B$4)),0)</f>
        <v>10248</v>
      </c>
    </row>
    <row r="50" spans="1:5" x14ac:dyDescent="0.35">
      <c r="A50" s="110">
        <f>IF((B50&gt;(Inputs!$B$7+Inputs!$B$8)),0,IF((B50&lt;Inputs!$B$7),0,((B50-Inputs!$B$7))))</f>
        <v>3</v>
      </c>
      <c r="B50" s="50">
        <f t="shared" si="4"/>
        <v>2030</v>
      </c>
      <c r="C50" s="97">
        <f t="shared" si="5"/>
        <v>2802.7219999999998</v>
      </c>
      <c r="D50" s="387">
        <f t="shared" si="6"/>
        <v>17959.842575999999</v>
      </c>
      <c r="E50" s="72">
        <f t="shared" si="7"/>
        <v>9769</v>
      </c>
    </row>
    <row r="51" spans="1:5" x14ac:dyDescent="0.35">
      <c r="A51" s="110">
        <f>IF((B51&gt;(Inputs!$B$7+Inputs!$B$8)),0,IF((B51&lt;Inputs!$B$7),0,((B51-Inputs!$B$7))))</f>
        <v>4</v>
      </c>
      <c r="B51" s="50">
        <f t="shared" si="4"/>
        <v>2031</v>
      </c>
      <c r="C51" s="97">
        <f t="shared" si="5"/>
        <v>2858.7764399999996</v>
      </c>
      <c r="D51" s="387">
        <f t="shared" si="6"/>
        <v>18319.039427520001</v>
      </c>
      <c r="E51" s="72">
        <f t="shared" si="7"/>
        <v>9312</v>
      </c>
    </row>
    <row r="52" spans="1:5" x14ac:dyDescent="0.35">
      <c r="A52" s="110">
        <f>IF((B52&gt;(Inputs!$B$7+Inputs!$B$8)),0,IF((B52&lt;Inputs!$B$7),0,((B52-Inputs!$B$7))))</f>
        <v>5</v>
      </c>
      <c r="B52" s="50">
        <f t="shared" si="4"/>
        <v>2032</v>
      </c>
      <c r="C52" s="97">
        <f t="shared" si="5"/>
        <v>2915.9519687999996</v>
      </c>
      <c r="D52" s="387">
        <f t="shared" si="6"/>
        <v>18685.420216070397</v>
      </c>
      <c r="E52" s="72">
        <f t="shared" si="7"/>
        <v>8877</v>
      </c>
    </row>
    <row r="53" spans="1:5" x14ac:dyDescent="0.35">
      <c r="A53" s="110">
        <f>IF((B53&gt;(Inputs!$B$7+Inputs!$B$8)),0,IF((B53&lt;Inputs!$B$7),0,((B53-Inputs!$B$7))))</f>
        <v>6</v>
      </c>
      <c r="B53" s="50">
        <f t="shared" si="4"/>
        <v>2033</v>
      </c>
      <c r="C53" s="97">
        <f t="shared" si="5"/>
        <v>2974.2710081759997</v>
      </c>
      <c r="D53" s="387">
        <f t="shared" si="6"/>
        <v>19059.12862039181</v>
      </c>
      <c r="E53" s="72">
        <f t="shared" si="7"/>
        <v>8462</v>
      </c>
    </row>
    <row r="54" spans="1:5" x14ac:dyDescent="0.35">
      <c r="A54" s="110">
        <f>IF((B54&gt;(Inputs!$B$7+Inputs!$B$8)),0,IF((B54&lt;Inputs!$B$7),0,((B54-Inputs!$B$7))))</f>
        <v>7</v>
      </c>
      <c r="B54" s="50">
        <f t="shared" si="4"/>
        <v>2034</v>
      </c>
      <c r="C54" s="97">
        <f t="shared" si="5"/>
        <v>3033.7564283395195</v>
      </c>
      <c r="D54" s="387">
        <f t="shared" si="6"/>
        <v>19440.31119279964</v>
      </c>
      <c r="E54" s="72">
        <f t="shared" si="7"/>
        <v>8067</v>
      </c>
    </row>
    <row r="55" spans="1:5" x14ac:dyDescent="0.35">
      <c r="A55" s="110">
        <f>IF((B55&gt;(Inputs!$B$7+Inputs!$B$8)),0,IF((B55&lt;Inputs!$B$7),0,((B55-Inputs!$B$7))))</f>
        <v>8</v>
      </c>
      <c r="B55" s="50">
        <f t="shared" si="4"/>
        <v>2035</v>
      </c>
      <c r="C55" s="97">
        <f t="shared" si="5"/>
        <v>3094.4315569063101</v>
      </c>
      <c r="D55" s="387">
        <f t="shared" si="6"/>
        <v>19829.117416655634</v>
      </c>
      <c r="E55" s="72">
        <f t="shared" si="7"/>
        <v>7690</v>
      </c>
    </row>
    <row r="56" spans="1:5" x14ac:dyDescent="0.35">
      <c r="A56" s="110">
        <f>IF((B56&gt;(Inputs!$B$7+Inputs!$B$8)),0,IF((B56&lt;Inputs!$B$7),0,((B56-Inputs!$B$7))))</f>
        <v>9</v>
      </c>
      <c r="B56" s="50">
        <f t="shared" si="4"/>
        <v>2036</v>
      </c>
      <c r="C56" s="97">
        <f t="shared" si="5"/>
        <v>3156.3201880444362</v>
      </c>
      <c r="D56" s="387">
        <f t="shared" si="6"/>
        <v>20225.699764988745</v>
      </c>
      <c r="E56" s="72">
        <f t="shared" si="7"/>
        <v>7331</v>
      </c>
    </row>
    <row r="57" spans="1:5" x14ac:dyDescent="0.35">
      <c r="A57" s="110">
        <f>IF((B57&gt;(Inputs!$B$7+Inputs!$B$8)),0,IF((B57&lt;Inputs!$B$7),0,((B57-Inputs!$B$7))))</f>
        <v>10</v>
      </c>
      <c r="B57" s="50">
        <f t="shared" si="4"/>
        <v>2037</v>
      </c>
      <c r="C57" s="97">
        <f t="shared" si="5"/>
        <v>3219.4465918053252</v>
      </c>
      <c r="D57" s="387">
        <f t="shared" si="6"/>
        <v>20630.213760288523</v>
      </c>
      <c r="E57" s="72">
        <f t="shared" si="7"/>
        <v>6988</v>
      </c>
    </row>
    <row r="58" spans="1:5" x14ac:dyDescent="0.35">
      <c r="A58" s="110">
        <f>IF((B58&gt;(Inputs!$B$7+Inputs!$B$8)),0,IF((B58&lt;Inputs!$B$7),0,((B58-Inputs!$B$7))))</f>
        <v>11</v>
      </c>
      <c r="B58" s="50">
        <f t="shared" si="4"/>
        <v>2038</v>
      </c>
      <c r="C58" s="97">
        <f t="shared" si="5"/>
        <v>3283.8355236414318</v>
      </c>
      <c r="D58" s="387">
        <f t="shared" si="6"/>
        <v>21042.818035494296</v>
      </c>
      <c r="E58" s="72">
        <f t="shared" si="7"/>
        <v>6662</v>
      </c>
    </row>
    <row r="59" spans="1:5" x14ac:dyDescent="0.35">
      <c r="A59" s="110">
        <f>IF((B59&gt;(Inputs!$B$7+Inputs!$B$8)),0,IF((B59&lt;Inputs!$B$7),0,((B59-Inputs!$B$7))))</f>
        <v>12</v>
      </c>
      <c r="B59" s="50">
        <f t="shared" si="4"/>
        <v>2039</v>
      </c>
      <c r="C59" s="97">
        <f t="shared" si="5"/>
        <v>3349.5122341142605</v>
      </c>
      <c r="D59" s="387">
        <f t="shared" si="6"/>
        <v>21463.674396204184</v>
      </c>
      <c r="E59" s="72">
        <f t="shared" si="7"/>
        <v>6350</v>
      </c>
    </row>
    <row r="60" spans="1:5" x14ac:dyDescent="0.35">
      <c r="A60" s="110">
        <f>IF((B60&gt;(Inputs!$B$7+Inputs!$B$8)),0,IF((B60&lt;Inputs!$B$7),0,((B60-Inputs!$B$7))))</f>
        <v>13</v>
      </c>
      <c r="B60" s="50">
        <f t="shared" si="4"/>
        <v>2040</v>
      </c>
      <c r="C60" s="97">
        <f t="shared" si="5"/>
        <v>3416.5024787965458</v>
      </c>
      <c r="D60" s="387">
        <f t="shared" si="6"/>
        <v>21892.947884128265</v>
      </c>
      <c r="E60" s="72">
        <f t="shared" si="7"/>
        <v>6054</v>
      </c>
    </row>
    <row r="61" spans="1:5" x14ac:dyDescent="0.35">
      <c r="A61" s="110">
        <f>IF((B61&gt;(Inputs!$B$7+Inputs!$B$8)),0,IF((B61&lt;Inputs!$B$7),0,((B61-Inputs!$B$7))))</f>
        <v>14</v>
      </c>
      <c r="B61" s="50">
        <f t="shared" si="4"/>
        <v>2041</v>
      </c>
      <c r="C61" s="97">
        <f t="shared" si="5"/>
        <v>3484.8325283724766</v>
      </c>
      <c r="D61" s="387">
        <f t="shared" si="6"/>
        <v>22330.806841810831</v>
      </c>
      <c r="E61" s="72">
        <f t="shared" si="7"/>
        <v>5771</v>
      </c>
    </row>
    <row r="62" spans="1:5" x14ac:dyDescent="0.35">
      <c r="A62" s="110">
        <f>IF((B62&gt;(Inputs!$B$7+Inputs!$B$8)),0,IF((B62&lt;Inputs!$B$7),0,((B62-Inputs!$B$7))))</f>
        <v>15</v>
      </c>
      <c r="B62" s="50">
        <f t="shared" si="4"/>
        <v>2042</v>
      </c>
      <c r="C62" s="97">
        <f t="shared" si="5"/>
        <v>3554.5291789399262</v>
      </c>
      <c r="D62" s="387">
        <f t="shared" si="6"/>
        <v>22777.42297864705</v>
      </c>
      <c r="E62" s="72">
        <f t="shared" si="7"/>
        <v>5501</v>
      </c>
    </row>
    <row r="63" spans="1:5" x14ac:dyDescent="0.35">
      <c r="A63" s="110">
        <f>IF((B63&gt;(Inputs!$B$7+Inputs!$B$8)),0,IF((B63&lt;Inputs!$B$7),0,((B63-Inputs!$B$7))))</f>
        <v>16</v>
      </c>
      <c r="B63" s="50">
        <f t="shared" si="4"/>
        <v>2043</v>
      </c>
      <c r="C63" s="97">
        <f t="shared" si="5"/>
        <v>3625.6197625187247</v>
      </c>
      <c r="D63" s="387">
        <f t="shared" si="6"/>
        <v>23232.971438219989</v>
      </c>
      <c r="E63" s="72">
        <f t="shared" si="7"/>
        <v>5244</v>
      </c>
    </row>
    <row r="64" spans="1:5" x14ac:dyDescent="0.35">
      <c r="A64" s="110">
        <f>IF((B64&gt;(Inputs!$B$7+Inputs!$B$8)),0,IF((B64&lt;Inputs!$B$7),0,((B64-Inputs!$B$7))))</f>
        <v>17</v>
      </c>
      <c r="B64" s="50">
        <f t="shared" si="4"/>
        <v>2044</v>
      </c>
      <c r="C64" s="97">
        <f t="shared" si="5"/>
        <v>3698.1321577690992</v>
      </c>
      <c r="D64" s="387">
        <f t="shared" si="6"/>
        <v>23697.630866984386</v>
      </c>
      <c r="E64" s="72">
        <f t="shared" si="7"/>
        <v>4999</v>
      </c>
    </row>
    <row r="65" spans="1:5" x14ac:dyDescent="0.35">
      <c r="A65" s="110">
        <f>IF((B65&gt;(Inputs!$B$7+Inputs!$B$8)),0,IF((B65&lt;Inputs!$B$7),0,((B65-Inputs!$B$7))))</f>
        <v>18</v>
      </c>
      <c r="B65" s="50">
        <f t="shared" si="4"/>
        <v>2045</v>
      </c>
      <c r="C65" s="97">
        <f t="shared" si="5"/>
        <v>3772.0948009244812</v>
      </c>
      <c r="D65" s="387">
        <f t="shared" si="6"/>
        <v>24171.583484324077</v>
      </c>
      <c r="E65" s="72">
        <f t="shared" si="7"/>
        <v>4765</v>
      </c>
    </row>
    <row r="66" spans="1:5" x14ac:dyDescent="0.35">
      <c r="A66" s="110">
        <f>IF((B66&gt;(Inputs!$B$7+Inputs!$B$8)),0,IF((B66&lt;Inputs!$B$7),0,((B66-Inputs!$B$7))))</f>
        <v>19</v>
      </c>
      <c r="B66" s="50">
        <f t="shared" si="4"/>
        <v>2046</v>
      </c>
      <c r="C66" s="97">
        <f t="shared" si="5"/>
        <v>3847.536696942971</v>
      </c>
      <c r="D66" s="387">
        <f t="shared" si="6"/>
        <v>24655.015154010558</v>
      </c>
      <c r="E66" s="72">
        <f t="shared" si="7"/>
        <v>4543</v>
      </c>
    </row>
    <row r="67" spans="1:5" x14ac:dyDescent="0.35">
      <c r="A67" s="110">
        <f>IF((B67&gt;(Inputs!$B$7+Inputs!$B$8)),0,IF((B67&lt;Inputs!$B$7),0,((B67-Inputs!$B$7))))</f>
        <v>20</v>
      </c>
      <c r="B67" s="50">
        <f t="shared" si="4"/>
        <v>2047</v>
      </c>
      <c r="C67" s="97">
        <f t="shared" si="5"/>
        <v>3924.4874308818307</v>
      </c>
      <c r="D67" s="387">
        <f t="shared" si="6"/>
        <v>25148.115457090771</v>
      </c>
      <c r="E67" s="72">
        <f t="shared" si="7"/>
        <v>4330</v>
      </c>
    </row>
    <row r="68" spans="1:5" x14ac:dyDescent="0.35">
      <c r="A68" s="110"/>
      <c r="B68" s="50"/>
      <c r="C68" s="50"/>
      <c r="D68" s="51" t="s">
        <v>349</v>
      </c>
      <c r="E68" s="95">
        <f>SUM(E48:E67)</f>
        <v>141713</v>
      </c>
    </row>
  </sheetData>
  <sheetProtection algorithmName="SHA-512" hashValue="lfiOoSYCmOyKg2OSWuUVT2vanTfgRIVYKPVhpC1C3fDfWwUuiOmT7bi2Fyzxzqji3sLaoPd1YbPMDxjmX5Q3dg==" saltValue="+hnG0Ie7/n75UKnuyW8uaQ==" spinCount="100000" sheet="1" objects="1" scenarios="1"/>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B1:K20"/>
  <sheetViews>
    <sheetView zoomScaleNormal="100" workbookViewId="0">
      <selection activeCell="E12" sqref="E12"/>
    </sheetView>
  </sheetViews>
  <sheetFormatPr defaultColWidth="9.26953125" defaultRowHeight="12.5" x14ac:dyDescent="0.25"/>
  <cols>
    <col min="1" max="1" width="9.26953125" style="1"/>
    <col min="2" max="2" width="40.7265625" style="1" customWidth="1"/>
    <col min="3" max="3" width="16.26953125" style="1" bestFit="1" customWidth="1"/>
    <col min="4" max="4" width="16" style="1" bestFit="1" customWidth="1"/>
    <col min="5" max="5" width="18.54296875" style="1" customWidth="1"/>
    <col min="6" max="6" width="17.7265625" style="1" customWidth="1"/>
    <col min="7" max="7" width="12.7265625" style="1" bestFit="1" customWidth="1"/>
    <col min="8" max="8" width="31.453125" style="1" customWidth="1"/>
    <col min="9" max="9" width="15" style="1" customWidth="1"/>
    <col min="10" max="11" width="17.7265625" style="1" customWidth="1"/>
    <col min="12" max="16384" width="9.26953125" style="1"/>
  </cols>
  <sheetData>
    <row r="1" spans="2:8" ht="13" x14ac:dyDescent="0.3">
      <c r="B1" s="13" t="s">
        <v>128</v>
      </c>
    </row>
    <row r="2" spans="2:8" x14ac:dyDescent="0.25">
      <c r="B2" s="1" t="s">
        <v>427</v>
      </c>
    </row>
    <row r="4" spans="2:8" x14ac:dyDescent="0.25">
      <c r="B4" s="23" t="s">
        <v>428</v>
      </c>
      <c r="D4" s="23" t="s">
        <v>429</v>
      </c>
      <c r="F4" s="22"/>
    </row>
    <row r="6" spans="2:8" x14ac:dyDescent="0.25">
      <c r="B6" s="57" t="s">
        <v>430</v>
      </c>
      <c r="D6" s="21">
        <v>60</v>
      </c>
    </row>
    <row r="7" spans="2:8" x14ac:dyDescent="0.25">
      <c r="B7" s="1" t="s">
        <v>431</v>
      </c>
    </row>
    <row r="8" spans="2:8" ht="14.5" x14ac:dyDescent="0.35">
      <c r="B8" s="350" t="s">
        <v>432</v>
      </c>
    </row>
    <row r="9" spans="2:8" x14ac:dyDescent="0.25">
      <c r="B9" s="11"/>
    </row>
    <row r="10" spans="2:8" x14ac:dyDescent="0.25">
      <c r="B10" s="19" t="s">
        <v>383</v>
      </c>
      <c r="C10" s="1">
        <f>Inputs!B10</f>
        <v>2021</v>
      </c>
      <c r="D10" s="20"/>
    </row>
    <row r="11" spans="2:8" x14ac:dyDescent="0.25">
      <c r="C11" s="3"/>
      <c r="D11" s="25"/>
      <c r="G11" s="3"/>
      <c r="H11" s="25"/>
    </row>
    <row r="12" spans="2:8" ht="13" x14ac:dyDescent="0.3">
      <c r="B12" s="1" t="s">
        <v>433</v>
      </c>
      <c r="C12" s="144" t="s">
        <v>434</v>
      </c>
      <c r="G12" s="18"/>
    </row>
    <row r="13" spans="2:8" ht="13" x14ac:dyDescent="0.3">
      <c r="B13" s="17" t="s">
        <v>435</v>
      </c>
      <c r="C13" s="145">
        <f>Inputs!B7+20</f>
        <v>2047</v>
      </c>
      <c r="D13" s="16"/>
    </row>
    <row r="14" spans="2:8" x14ac:dyDescent="0.25">
      <c r="B14" s="1" t="s">
        <v>436</v>
      </c>
      <c r="C14" s="146">
        <v>0.8</v>
      </c>
    </row>
    <row r="15" spans="2:8" x14ac:dyDescent="0.25">
      <c r="B15" s="2" t="str">
        <f>Inputs!A3</f>
        <v xml:space="preserve">Discount Rate </v>
      </c>
      <c r="C15" s="146">
        <f>Inputs!B3</f>
        <v>7.0000000000000007E-2</v>
      </c>
    </row>
    <row r="16" spans="2:8" x14ac:dyDescent="0.25">
      <c r="B16" s="2"/>
      <c r="C16" s="146"/>
    </row>
    <row r="17" spans="2:11" ht="13" x14ac:dyDescent="0.3">
      <c r="B17" s="13"/>
      <c r="C17" s="144" t="s">
        <v>437</v>
      </c>
      <c r="D17" s="143" t="s">
        <v>429</v>
      </c>
      <c r="E17" s="143" t="s">
        <v>438</v>
      </c>
      <c r="F17" s="143" t="s">
        <v>426</v>
      </c>
    </row>
    <row r="18" spans="2:11" x14ac:dyDescent="0.25">
      <c r="B18" s="19" t="s">
        <v>439</v>
      </c>
      <c r="C18" s="10">
        <f>('Cost&amp;Schedule'!H27-'Cost&amp;Schedule'!C13)*C14</f>
        <v>247367862.70595658</v>
      </c>
      <c r="D18" s="143">
        <f>$D$6</f>
        <v>60</v>
      </c>
      <c r="E18" s="10">
        <f>(C18)*(D18-20)/D18</f>
        <v>164911908.47063771</v>
      </c>
      <c r="F18" s="10">
        <f>E18/(1+$C$15)^($C$13-$C$10)</f>
        <v>28397087.382558744</v>
      </c>
      <c r="I18" s="15"/>
      <c r="J18" s="14"/>
    </row>
    <row r="19" spans="2:11" ht="13" x14ac:dyDescent="0.3">
      <c r="B19" s="19" t="s">
        <v>440</v>
      </c>
      <c r="C19" s="10">
        <f>'Cost&amp;Schedule'!C13</f>
        <v>3198873.0490030418</v>
      </c>
      <c r="D19" s="143" t="s">
        <v>441</v>
      </c>
      <c r="E19" s="10">
        <f>C19</f>
        <v>3198873.0490030418</v>
      </c>
      <c r="F19" s="10">
        <f>E19/(1+$C$15)^($C$13-$C$10)</f>
        <v>550831.52175408346</v>
      </c>
      <c r="G19" s="12"/>
      <c r="I19" s="10"/>
      <c r="J19" s="46"/>
      <c r="K19" s="36"/>
    </row>
    <row r="20" spans="2:11" x14ac:dyDescent="0.25">
      <c r="C20" s="414" t="str">
        <f>"Total Value Remaining after "&amp;$C$13</f>
        <v>Total Value Remaining after 2047</v>
      </c>
      <c r="D20" s="414"/>
      <c r="E20" s="10">
        <f>SUM(E18:E19)</f>
        <v>168110781.51964074</v>
      </c>
      <c r="F20" s="10">
        <f>SUM(F18:F19)</f>
        <v>28947918.904312827</v>
      </c>
    </row>
  </sheetData>
  <sheetProtection algorithmName="SHA-512" hashValue="PlH21r3RFxZKOXYBZexaOwiPUpHHG3QpjsZ6furb/h6Safkxx49Rwzo5HSZOp1R4L+Fw7H5a6SqWqhExFFabng==" saltValue="2CsTE5lAKq3JgELnegB/Cg==" spinCount="100000" sheet="1" objects="1" scenarios="1"/>
  <mergeCells count="1">
    <mergeCell ref="C20:D20"/>
  </mergeCells>
  <phoneticPr fontId="51" type="noConversion"/>
  <hyperlinks>
    <hyperlink ref="B8" r:id="rId1" xr:uid="{00000000-0004-0000-0800-000007000000}"/>
  </hyperlinks>
  <pageMargins left="0.7" right="0.7" top="0.75" bottom="0.75" header="0.3" footer="0.3"/>
  <pageSetup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56E78-3574-49E3-814E-26D9733E9045}">
  <sheetPr filterMode="1">
    <tabColor rgb="FFCDE0FF"/>
  </sheetPr>
  <dimension ref="A1:V605"/>
  <sheetViews>
    <sheetView zoomScale="85" zoomScaleNormal="85" workbookViewId="0">
      <selection activeCell="E12" sqref="E12"/>
    </sheetView>
  </sheetViews>
  <sheetFormatPr defaultRowHeight="12.5" x14ac:dyDescent="0.25"/>
  <cols>
    <col min="1" max="1" width="8" style="290" bestFit="1" customWidth="1"/>
    <col min="2" max="2" width="16.54296875" style="290" bestFit="1" customWidth="1"/>
    <col min="3" max="3" width="10.26953125" style="290" bestFit="1" customWidth="1"/>
    <col min="4" max="4" width="10.453125" style="290" bestFit="1" customWidth="1"/>
    <col min="5" max="5" width="21.26953125" style="290" bestFit="1" customWidth="1"/>
    <col min="6" max="7" width="11.7265625" style="290" bestFit="1" customWidth="1"/>
    <col min="8" max="9" width="9.26953125" style="290" bestFit="1" customWidth="1"/>
    <col min="10" max="10" width="12.7265625" style="290" bestFit="1" customWidth="1"/>
    <col min="11" max="11" width="5" style="290" bestFit="1" customWidth="1"/>
    <col min="12" max="12" width="5.7265625" style="290" bestFit="1" customWidth="1"/>
    <col min="13" max="13" width="8.7265625" style="290" bestFit="1" customWidth="1"/>
    <col min="14" max="14" width="6.453125" style="290" bestFit="1" customWidth="1"/>
    <col min="15" max="15" width="10.453125" style="290" bestFit="1" customWidth="1"/>
    <col min="16" max="16" width="15.7265625" style="290" bestFit="1" customWidth="1"/>
    <col min="17" max="17" width="12.7265625" style="290" bestFit="1" customWidth="1"/>
    <col min="18" max="18" width="17.26953125" style="290" bestFit="1" customWidth="1"/>
    <col min="19" max="19" width="14.7265625" style="290" bestFit="1" customWidth="1"/>
    <col min="20" max="20" width="10.26953125" style="290" bestFit="1" customWidth="1"/>
    <col min="21" max="21" width="12.453125" style="290" customWidth="1"/>
    <col min="22" max="256" width="9.26953125" style="290"/>
    <col min="257" max="257" width="8" style="290" bestFit="1" customWidth="1"/>
    <col min="258" max="258" width="16.54296875" style="290" bestFit="1" customWidth="1"/>
    <col min="259" max="259" width="10.26953125" style="290" bestFit="1" customWidth="1"/>
    <col min="260" max="260" width="10.453125" style="290" bestFit="1" customWidth="1"/>
    <col min="261" max="261" width="21.26953125" style="290" bestFit="1" customWidth="1"/>
    <col min="262" max="263" width="11.7265625" style="290" bestFit="1" customWidth="1"/>
    <col min="264" max="265" width="9.26953125" style="290" bestFit="1" customWidth="1"/>
    <col min="266" max="266" width="12.7265625" style="290" bestFit="1" customWidth="1"/>
    <col min="267" max="267" width="5" style="290" bestFit="1" customWidth="1"/>
    <col min="268" max="268" width="5.7265625" style="290" bestFit="1" customWidth="1"/>
    <col min="269" max="269" width="8.7265625" style="290" bestFit="1" customWidth="1"/>
    <col min="270" max="270" width="6.453125" style="290" bestFit="1" customWidth="1"/>
    <col min="271" max="271" width="10.453125" style="290" bestFit="1" customWidth="1"/>
    <col min="272" max="272" width="15.7265625" style="290" bestFit="1" customWidth="1"/>
    <col min="273" max="273" width="12.7265625" style="290" bestFit="1" customWidth="1"/>
    <col min="274" max="274" width="17.26953125" style="290" bestFit="1" customWidth="1"/>
    <col min="275" max="275" width="14.7265625" style="290" bestFit="1" customWidth="1"/>
    <col min="276" max="276" width="10.26953125" style="290" bestFit="1" customWidth="1"/>
    <col min="277" max="277" width="12.453125" style="290" customWidth="1"/>
    <col min="278" max="512" width="9.26953125" style="290"/>
    <col min="513" max="513" width="8" style="290" bestFit="1" customWidth="1"/>
    <col min="514" max="514" width="16.54296875" style="290" bestFit="1" customWidth="1"/>
    <col min="515" max="515" width="10.26953125" style="290" bestFit="1" customWidth="1"/>
    <col min="516" max="516" width="10.453125" style="290" bestFit="1" customWidth="1"/>
    <col min="517" max="517" width="21.26953125" style="290" bestFit="1" customWidth="1"/>
    <col min="518" max="519" width="11.7265625" style="290" bestFit="1" customWidth="1"/>
    <col min="520" max="521" width="9.26953125" style="290" bestFit="1" customWidth="1"/>
    <col min="522" max="522" width="12.7265625" style="290" bestFit="1" customWidth="1"/>
    <col min="523" max="523" width="5" style="290" bestFit="1" customWidth="1"/>
    <col min="524" max="524" width="5.7265625" style="290" bestFit="1" customWidth="1"/>
    <col min="525" max="525" width="8.7265625" style="290" bestFit="1" customWidth="1"/>
    <col min="526" max="526" width="6.453125" style="290" bestFit="1" customWidth="1"/>
    <col min="527" max="527" width="10.453125" style="290" bestFit="1" customWidth="1"/>
    <col min="528" max="528" width="15.7265625" style="290" bestFit="1" customWidth="1"/>
    <col min="529" max="529" width="12.7265625" style="290" bestFit="1" customWidth="1"/>
    <col min="530" max="530" width="17.26953125" style="290" bestFit="1" customWidth="1"/>
    <col min="531" max="531" width="14.7265625" style="290" bestFit="1" customWidth="1"/>
    <col min="532" max="532" width="10.26953125" style="290" bestFit="1" customWidth="1"/>
    <col min="533" max="533" width="12.453125" style="290" customWidth="1"/>
    <col min="534" max="768" width="9.26953125" style="290"/>
    <col min="769" max="769" width="8" style="290" bestFit="1" customWidth="1"/>
    <col min="770" max="770" width="16.54296875" style="290" bestFit="1" customWidth="1"/>
    <col min="771" max="771" width="10.26953125" style="290" bestFit="1" customWidth="1"/>
    <col min="772" max="772" width="10.453125" style="290" bestFit="1" customWidth="1"/>
    <col min="773" max="773" width="21.26953125" style="290" bestFit="1" customWidth="1"/>
    <col min="774" max="775" width="11.7265625" style="290" bestFit="1" customWidth="1"/>
    <col min="776" max="777" width="9.26953125" style="290" bestFit="1" customWidth="1"/>
    <col min="778" max="778" width="12.7265625" style="290" bestFit="1" customWidth="1"/>
    <col min="779" max="779" width="5" style="290" bestFit="1" customWidth="1"/>
    <col min="780" max="780" width="5.7265625" style="290" bestFit="1" customWidth="1"/>
    <col min="781" max="781" width="8.7265625" style="290" bestFit="1" customWidth="1"/>
    <col min="782" max="782" width="6.453125" style="290" bestFit="1" customWidth="1"/>
    <col min="783" max="783" width="10.453125" style="290" bestFit="1" customWidth="1"/>
    <col min="784" max="784" width="15.7265625" style="290" bestFit="1" customWidth="1"/>
    <col min="785" max="785" width="12.7265625" style="290" bestFit="1" customWidth="1"/>
    <col min="786" max="786" width="17.26953125" style="290" bestFit="1" customWidth="1"/>
    <col min="787" max="787" width="14.7265625" style="290" bestFit="1" customWidth="1"/>
    <col min="788" max="788" width="10.26953125" style="290" bestFit="1" customWidth="1"/>
    <col min="789" max="789" width="12.453125" style="290" customWidth="1"/>
    <col min="790" max="1024" width="9.26953125" style="290"/>
    <col min="1025" max="1025" width="8" style="290" bestFit="1" customWidth="1"/>
    <col min="1026" max="1026" width="16.54296875" style="290" bestFit="1" customWidth="1"/>
    <col min="1027" max="1027" width="10.26953125" style="290" bestFit="1" customWidth="1"/>
    <col min="1028" max="1028" width="10.453125" style="290" bestFit="1" customWidth="1"/>
    <col min="1029" max="1029" width="21.26953125" style="290" bestFit="1" customWidth="1"/>
    <col min="1030" max="1031" width="11.7265625" style="290" bestFit="1" customWidth="1"/>
    <col min="1032" max="1033" width="9.26953125" style="290" bestFit="1" customWidth="1"/>
    <col min="1034" max="1034" width="12.7265625" style="290" bestFit="1" customWidth="1"/>
    <col min="1035" max="1035" width="5" style="290" bestFit="1" customWidth="1"/>
    <col min="1036" max="1036" width="5.7265625" style="290" bestFit="1" customWidth="1"/>
    <col min="1037" max="1037" width="8.7265625" style="290" bestFit="1" customWidth="1"/>
    <col min="1038" max="1038" width="6.453125" style="290" bestFit="1" customWidth="1"/>
    <col min="1039" max="1039" width="10.453125" style="290" bestFit="1" customWidth="1"/>
    <col min="1040" max="1040" width="15.7265625" style="290" bestFit="1" customWidth="1"/>
    <col min="1041" max="1041" width="12.7265625" style="290" bestFit="1" customWidth="1"/>
    <col min="1042" max="1042" width="17.26953125" style="290" bestFit="1" customWidth="1"/>
    <col min="1043" max="1043" width="14.7265625" style="290" bestFit="1" customWidth="1"/>
    <col min="1044" max="1044" width="10.26953125" style="290" bestFit="1" customWidth="1"/>
    <col min="1045" max="1045" width="12.453125" style="290" customWidth="1"/>
    <col min="1046" max="1280" width="9.26953125" style="290"/>
    <col min="1281" max="1281" width="8" style="290" bestFit="1" customWidth="1"/>
    <col min="1282" max="1282" width="16.54296875" style="290" bestFit="1" customWidth="1"/>
    <col min="1283" max="1283" width="10.26953125" style="290" bestFit="1" customWidth="1"/>
    <col min="1284" max="1284" width="10.453125" style="290" bestFit="1" customWidth="1"/>
    <col min="1285" max="1285" width="21.26953125" style="290" bestFit="1" customWidth="1"/>
    <col min="1286" max="1287" width="11.7265625" style="290" bestFit="1" customWidth="1"/>
    <col min="1288" max="1289" width="9.26953125" style="290" bestFit="1" customWidth="1"/>
    <col min="1290" max="1290" width="12.7265625" style="290" bestFit="1" customWidth="1"/>
    <col min="1291" max="1291" width="5" style="290" bestFit="1" customWidth="1"/>
    <col min="1292" max="1292" width="5.7265625" style="290" bestFit="1" customWidth="1"/>
    <col min="1293" max="1293" width="8.7265625" style="290" bestFit="1" customWidth="1"/>
    <col min="1294" max="1294" width="6.453125" style="290" bestFit="1" customWidth="1"/>
    <col min="1295" max="1295" width="10.453125" style="290" bestFit="1" customWidth="1"/>
    <col min="1296" max="1296" width="15.7265625" style="290" bestFit="1" customWidth="1"/>
    <col min="1297" max="1297" width="12.7265625" style="290" bestFit="1" customWidth="1"/>
    <col min="1298" max="1298" width="17.26953125" style="290" bestFit="1" customWidth="1"/>
    <col min="1299" max="1299" width="14.7265625" style="290" bestFit="1" customWidth="1"/>
    <col min="1300" max="1300" width="10.26953125" style="290" bestFit="1" customWidth="1"/>
    <col min="1301" max="1301" width="12.453125" style="290" customWidth="1"/>
    <col min="1302" max="1536" width="9.26953125" style="290"/>
    <col min="1537" max="1537" width="8" style="290" bestFit="1" customWidth="1"/>
    <col min="1538" max="1538" width="16.54296875" style="290" bestFit="1" customWidth="1"/>
    <col min="1539" max="1539" width="10.26953125" style="290" bestFit="1" customWidth="1"/>
    <col min="1540" max="1540" width="10.453125" style="290" bestFit="1" customWidth="1"/>
    <col min="1541" max="1541" width="21.26953125" style="290" bestFit="1" customWidth="1"/>
    <col min="1542" max="1543" width="11.7265625" style="290" bestFit="1" customWidth="1"/>
    <col min="1544" max="1545" width="9.26953125" style="290" bestFit="1" customWidth="1"/>
    <col min="1546" max="1546" width="12.7265625" style="290" bestFit="1" customWidth="1"/>
    <col min="1547" max="1547" width="5" style="290" bestFit="1" customWidth="1"/>
    <col min="1548" max="1548" width="5.7265625" style="290" bestFit="1" customWidth="1"/>
    <col min="1549" max="1549" width="8.7265625" style="290" bestFit="1" customWidth="1"/>
    <col min="1550" max="1550" width="6.453125" style="290" bestFit="1" customWidth="1"/>
    <col min="1551" max="1551" width="10.453125" style="290" bestFit="1" customWidth="1"/>
    <col min="1552" max="1552" width="15.7265625" style="290" bestFit="1" customWidth="1"/>
    <col min="1553" max="1553" width="12.7265625" style="290" bestFit="1" customWidth="1"/>
    <col min="1554" max="1554" width="17.26953125" style="290" bestFit="1" customWidth="1"/>
    <col min="1555" max="1555" width="14.7265625" style="290" bestFit="1" customWidth="1"/>
    <col min="1556" max="1556" width="10.26953125" style="290" bestFit="1" customWidth="1"/>
    <col min="1557" max="1557" width="12.453125" style="290" customWidth="1"/>
    <col min="1558" max="1792" width="9.26953125" style="290"/>
    <col min="1793" max="1793" width="8" style="290" bestFit="1" customWidth="1"/>
    <col min="1794" max="1794" width="16.54296875" style="290" bestFit="1" customWidth="1"/>
    <col min="1795" max="1795" width="10.26953125" style="290" bestFit="1" customWidth="1"/>
    <col min="1796" max="1796" width="10.453125" style="290" bestFit="1" customWidth="1"/>
    <col min="1797" max="1797" width="21.26953125" style="290" bestFit="1" customWidth="1"/>
    <col min="1798" max="1799" width="11.7265625" style="290" bestFit="1" customWidth="1"/>
    <col min="1800" max="1801" width="9.26953125" style="290" bestFit="1" customWidth="1"/>
    <col min="1802" max="1802" width="12.7265625" style="290" bestFit="1" customWidth="1"/>
    <col min="1803" max="1803" width="5" style="290" bestFit="1" customWidth="1"/>
    <col min="1804" max="1804" width="5.7265625" style="290" bestFit="1" customWidth="1"/>
    <col min="1805" max="1805" width="8.7265625" style="290" bestFit="1" customWidth="1"/>
    <col min="1806" max="1806" width="6.453125" style="290" bestFit="1" customWidth="1"/>
    <col min="1807" max="1807" width="10.453125" style="290" bestFit="1" customWidth="1"/>
    <col min="1808" max="1808" width="15.7265625" style="290" bestFit="1" customWidth="1"/>
    <col min="1809" max="1809" width="12.7265625" style="290" bestFit="1" customWidth="1"/>
    <col min="1810" max="1810" width="17.26953125" style="290" bestFit="1" customWidth="1"/>
    <col min="1811" max="1811" width="14.7265625" style="290" bestFit="1" customWidth="1"/>
    <col min="1812" max="1812" width="10.26953125" style="290" bestFit="1" customWidth="1"/>
    <col min="1813" max="1813" width="12.453125" style="290" customWidth="1"/>
    <col min="1814" max="2048" width="9.26953125" style="290"/>
    <col min="2049" max="2049" width="8" style="290" bestFit="1" customWidth="1"/>
    <col min="2050" max="2050" width="16.54296875" style="290" bestFit="1" customWidth="1"/>
    <col min="2051" max="2051" width="10.26953125" style="290" bestFit="1" customWidth="1"/>
    <col min="2052" max="2052" width="10.453125" style="290" bestFit="1" customWidth="1"/>
    <col min="2053" max="2053" width="21.26953125" style="290" bestFit="1" customWidth="1"/>
    <col min="2054" max="2055" width="11.7265625" style="290" bestFit="1" customWidth="1"/>
    <col min="2056" max="2057" width="9.26953125" style="290" bestFit="1" customWidth="1"/>
    <col min="2058" max="2058" width="12.7265625" style="290" bestFit="1" customWidth="1"/>
    <col min="2059" max="2059" width="5" style="290" bestFit="1" customWidth="1"/>
    <col min="2060" max="2060" width="5.7265625" style="290" bestFit="1" customWidth="1"/>
    <col min="2061" max="2061" width="8.7265625" style="290" bestFit="1" customWidth="1"/>
    <col min="2062" max="2062" width="6.453125" style="290" bestFit="1" customWidth="1"/>
    <col min="2063" max="2063" width="10.453125" style="290" bestFit="1" customWidth="1"/>
    <col min="2064" max="2064" width="15.7265625" style="290" bestFit="1" customWidth="1"/>
    <col min="2065" max="2065" width="12.7265625" style="290" bestFit="1" customWidth="1"/>
    <col min="2066" max="2066" width="17.26953125" style="290" bestFit="1" customWidth="1"/>
    <col min="2067" max="2067" width="14.7265625" style="290" bestFit="1" customWidth="1"/>
    <col min="2068" max="2068" width="10.26953125" style="290" bestFit="1" customWidth="1"/>
    <col min="2069" max="2069" width="12.453125" style="290" customWidth="1"/>
    <col min="2070" max="2304" width="9.26953125" style="290"/>
    <col min="2305" max="2305" width="8" style="290" bestFit="1" customWidth="1"/>
    <col min="2306" max="2306" width="16.54296875" style="290" bestFit="1" customWidth="1"/>
    <col min="2307" max="2307" width="10.26953125" style="290" bestFit="1" customWidth="1"/>
    <col min="2308" max="2308" width="10.453125" style="290" bestFit="1" customWidth="1"/>
    <col min="2309" max="2309" width="21.26953125" style="290" bestFit="1" customWidth="1"/>
    <col min="2310" max="2311" width="11.7265625" style="290" bestFit="1" customWidth="1"/>
    <col min="2312" max="2313" width="9.26953125" style="290" bestFit="1" customWidth="1"/>
    <col min="2314" max="2314" width="12.7265625" style="290" bestFit="1" customWidth="1"/>
    <col min="2315" max="2315" width="5" style="290" bestFit="1" customWidth="1"/>
    <col min="2316" max="2316" width="5.7265625" style="290" bestFit="1" customWidth="1"/>
    <col min="2317" max="2317" width="8.7265625" style="290" bestFit="1" customWidth="1"/>
    <col min="2318" max="2318" width="6.453125" style="290" bestFit="1" customWidth="1"/>
    <col min="2319" max="2319" width="10.453125" style="290" bestFit="1" customWidth="1"/>
    <col min="2320" max="2320" width="15.7265625" style="290" bestFit="1" customWidth="1"/>
    <col min="2321" max="2321" width="12.7265625" style="290" bestFit="1" customWidth="1"/>
    <col min="2322" max="2322" width="17.26953125" style="290" bestFit="1" customWidth="1"/>
    <col min="2323" max="2323" width="14.7265625" style="290" bestFit="1" customWidth="1"/>
    <col min="2324" max="2324" width="10.26953125" style="290" bestFit="1" customWidth="1"/>
    <col min="2325" max="2325" width="12.453125" style="290" customWidth="1"/>
    <col min="2326" max="2560" width="9.26953125" style="290"/>
    <col min="2561" max="2561" width="8" style="290" bestFit="1" customWidth="1"/>
    <col min="2562" max="2562" width="16.54296875" style="290" bestFit="1" customWidth="1"/>
    <col min="2563" max="2563" width="10.26953125" style="290" bestFit="1" customWidth="1"/>
    <col min="2564" max="2564" width="10.453125" style="290" bestFit="1" customWidth="1"/>
    <col min="2565" max="2565" width="21.26953125" style="290" bestFit="1" customWidth="1"/>
    <col min="2566" max="2567" width="11.7265625" style="290" bestFit="1" customWidth="1"/>
    <col min="2568" max="2569" width="9.26953125" style="290" bestFit="1" customWidth="1"/>
    <col min="2570" max="2570" width="12.7265625" style="290" bestFit="1" customWidth="1"/>
    <col min="2571" max="2571" width="5" style="290" bestFit="1" customWidth="1"/>
    <col min="2572" max="2572" width="5.7265625" style="290" bestFit="1" customWidth="1"/>
    <col min="2573" max="2573" width="8.7265625" style="290" bestFit="1" customWidth="1"/>
    <col min="2574" max="2574" width="6.453125" style="290" bestFit="1" customWidth="1"/>
    <col min="2575" max="2575" width="10.453125" style="290" bestFit="1" customWidth="1"/>
    <col min="2576" max="2576" width="15.7265625" style="290" bestFit="1" customWidth="1"/>
    <col min="2577" max="2577" width="12.7265625" style="290" bestFit="1" customWidth="1"/>
    <col min="2578" max="2578" width="17.26953125" style="290" bestFit="1" customWidth="1"/>
    <col min="2579" max="2579" width="14.7265625" style="290" bestFit="1" customWidth="1"/>
    <col min="2580" max="2580" width="10.26953125" style="290" bestFit="1" customWidth="1"/>
    <col min="2581" max="2581" width="12.453125" style="290" customWidth="1"/>
    <col min="2582" max="2816" width="9.26953125" style="290"/>
    <col min="2817" max="2817" width="8" style="290" bestFit="1" customWidth="1"/>
    <col min="2818" max="2818" width="16.54296875" style="290" bestFit="1" customWidth="1"/>
    <col min="2819" max="2819" width="10.26953125" style="290" bestFit="1" customWidth="1"/>
    <col min="2820" max="2820" width="10.453125" style="290" bestFit="1" customWidth="1"/>
    <col min="2821" max="2821" width="21.26953125" style="290" bestFit="1" customWidth="1"/>
    <col min="2822" max="2823" width="11.7265625" style="290" bestFit="1" customWidth="1"/>
    <col min="2824" max="2825" width="9.26953125" style="290" bestFit="1" customWidth="1"/>
    <col min="2826" max="2826" width="12.7265625" style="290" bestFit="1" customWidth="1"/>
    <col min="2827" max="2827" width="5" style="290" bestFit="1" customWidth="1"/>
    <col min="2828" max="2828" width="5.7265625" style="290" bestFit="1" customWidth="1"/>
    <col min="2829" max="2829" width="8.7265625" style="290" bestFit="1" customWidth="1"/>
    <col min="2830" max="2830" width="6.453125" style="290" bestFit="1" customWidth="1"/>
    <col min="2831" max="2831" width="10.453125" style="290" bestFit="1" customWidth="1"/>
    <col min="2832" max="2832" width="15.7265625" style="290" bestFit="1" customWidth="1"/>
    <col min="2833" max="2833" width="12.7265625" style="290" bestFit="1" customWidth="1"/>
    <col min="2834" max="2834" width="17.26953125" style="290" bestFit="1" customWidth="1"/>
    <col min="2835" max="2835" width="14.7265625" style="290" bestFit="1" customWidth="1"/>
    <col min="2836" max="2836" width="10.26953125" style="290" bestFit="1" customWidth="1"/>
    <col min="2837" max="2837" width="12.453125" style="290" customWidth="1"/>
    <col min="2838" max="3072" width="9.26953125" style="290"/>
    <col min="3073" max="3073" width="8" style="290" bestFit="1" customWidth="1"/>
    <col min="3074" max="3074" width="16.54296875" style="290" bestFit="1" customWidth="1"/>
    <col min="3075" max="3075" width="10.26953125" style="290" bestFit="1" customWidth="1"/>
    <col min="3076" max="3076" width="10.453125" style="290" bestFit="1" customWidth="1"/>
    <col min="3077" max="3077" width="21.26953125" style="290" bestFit="1" customWidth="1"/>
    <col min="3078" max="3079" width="11.7265625" style="290" bestFit="1" customWidth="1"/>
    <col min="3080" max="3081" width="9.26953125" style="290" bestFit="1" customWidth="1"/>
    <col min="3082" max="3082" width="12.7265625" style="290" bestFit="1" customWidth="1"/>
    <col min="3083" max="3083" width="5" style="290" bestFit="1" customWidth="1"/>
    <col min="3084" max="3084" width="5.7265625" style="290" bestFit="1" customWidth="1"/>
    <col min="3085" max="3085" width="8.7265625" style="290" bestFit="1" customWidth="1"/>
    <col min="3086" max="3086" width="6.453125" style="290" bestFit="1" customWidth="1"/>
    <col min="3087" max="3087" width="10.453125" style="290" bestFit="1" customWidth="1"/>
    <col min="3088" max="3088" width="15.7265625" style="290" bestFit="1" customWidth="1"/>
    <col min="3089" max="3089" width="12.7265625" style="290" bestFit="1" customWidth="1"/>
    <col min="3090" max="3090" width="17.26953125" style="290" bestFit="1" customWidth="1"/>
    <col min="3091" max="3091" width="14.7265625" style="290" bestFit="1" customWidth="1"/>
    <col min="3092" max="3092" width="10.26953125" style="290" bestFit="1" customWidth="1"/>
    <col min="3093" max="3093" width="12.453125" style="290" customWidth="1"/>
    <col min="3094" max="3328" width="9.26953125" style="290"/>
    <col min="3329" max="3329" width="8" style="290" bestFit="1" customWidth="1"/>
    <col min="3330" max="3330" width="16.54296875" style="290" bestFit="1" customWidth="1"/>
    <col min="3331" max="3331" width="10.26953125" style="290" bestFit="1" customWidth="1"/>
    <col min="3332" max="3332" width="10.453125" style="290" bestFit="1" customWidth="1"/>
    <col min="3333" max="3333" width="21.26953125" style="290" bestFit="1" customWidth="1"/>
    <col min="3334" max="3335" width="11.7265625" style="290" bestFit="1" customWidth="1"/>
    <col min="3336" max="3337" width="9.26953125" style="290" bestFit="1" customWidth="1"/>
    <col min="3338" max="3338" width="12.7265625" style="290" bestFit="1" customWidth="1"/>
    <col min="3339" max="3339" width="5" style="290" bestFit="1" customWidth="1"/>
    <col min="3340" max="3340" width="5.7265625" style="290" bestFit="1" customWidth="1"/>
    <col min="3341" max="3341" width="8.7265625" style="290" bestFit="1" customWidth="1"/>
    <col min="3342" max="3342" width="6.453125" style="290" bestFit="1" customWidth="1"/>
    <col min="3343" max="3343" width="10.453125" style="290" bestFit="1" customWidth="1"/>
    <col min="3344" max="3344" width="15.7265625" style="290" bestFit="1" customWidth="1"/>
    <col min="3345" max="3345" width="12.7265625" style="290" bestFit="1" customWidth="1"/>
    <col min="3346" max="3346" width="17.26953125" style="290" bestFit="1" customWidth="1"/>
    <col min="3347" max="3347" width="14.7265625" style="290" bestFit="1" customWidth="1"/>
    <col min="3348" max="3348" width="10.26953125" style="290" bestFit="1" customWidth="1"/>
    <col min="3349" max="3349" width="12.453125" style="290" customWidth="1"/>
    <col min="3350" max="3584" width="9.26953125" style="290"/>
    <col min="3585" max="3585" width="8" style="290" bestFit="1" customWidth="1"/>
    <col min="3586" max="3586" width="16.54296875" style="290" bestFit="1" customWidth="1"/>
    <col min="3587" max="3587" width="10.26953125" style="290" bestFit="1" customWidth="1"/>
    <col min="3588" max="3588" width="10.453125" style="290" bestFit="1" customWidth="1"/>
    <col min="3589" max="3589" width="21.26953125" style="290" bestFit="1" customWidth="1"/>
    <col min="3590" max="3591" width="11.7265625" style="290" bestFit="1" customWidth="1"/>
    <col min="3592" max="3593" width="9.26953125" style="290" bestFit="1" customWidth="1"/>
    <col min="3594" max="3594" width="12.7265625" style="290" bestFit="1" customWidth="1"/>
    <col min="3595" max="3595" width="5" style="290" bestFit="1" customWidth="1"/>
    <col min="3596" max="3596" width="5.7265625" style="290" bestFit="1" customWidth="1"/>
    <col min="3597" max="3597" width="8.7265625" style="290" bestFit="1" customWidth="1"/>
    <col min="3598" max="3598" width="6.453125" style="290" bestFit="1" customWidth="1"/>
    <col min="3599" max="3599" width="10.453125" style="290" bestFit="1" customWidth="1"/>
    <col min="3600" max="3600" width="15.7265625" style="290" bestFit="1" customWidth="1"/>
    <col min="3601" max="3601" width="12.7265625" style="290" bestFit="1" customWidth="1"/>
    <col min="3602" max="3602" width="17.26953125" style="290" bestFit="1" customWidth="1"/>
    <col min="3603" max="3603" width="14.7265625" style="290" bestFit="1" customWidth="1"/>
    <col min="3604" max="3604" width="10.26953125" style="290" bestFit="1" customWidth="1"/>
    <col min="3605" max="3605" width="12.453125" style="290" customWidth="1"/>
    <col min="3606" max="3840" width="9.26953125" style="290"/>
    <col min="3841" max="3841" width="8" style="290" bestFit="1" customWidth="1"/>
    <col min="3842" max="3842" width="16.54296875" style="290" bestFit="1" customWidth="1"/>
    <col min="3843" max="3843" width="10.26953125" style="290" bestFit="1" customWidth="1"/>
    <col min="3844" max="3844" width="10.453125" style="290" bestFit="1" customWidth="1"/>
    <col min="3845" max="3845" width="21.26953125" style="290" bestFit="1" customWidth="1"/>
    <col min="3846" max="3847" width="11.7265625" style="290" bestFit="1" customWidth="1"/>
    <col min="3848" max="3849" width="9.26953125" style="290" bestFit="1" customWidth="1"/>
    <col min="3850" max="3850" width="12.7265625" style="290" bestFit="1" customWidth="1"/>
    <col min="3851" max="3851" width="5" style="290" bestFit="1" customWidth="1"/>
    <col min="3852" max="3852" width="5.7265625" style="290" bestFit="1" customWidth="1"/>
    <col min="3853" max="3853" width="8.7265625" style="290" bestFit="1" customWidth="1"/>
    <col min="3854" max="3854" width="6.453125" style="290" bestFit="1" customWidth="1"/>
    <col min="3855" max="3855" width="10.453125" style="290" bestFit="1" customWidth="1"/>
    <col min="3856" max="3856" width="15.7265625" style="290" bestFit="1" customWidth="1"/>
    <col min="3857" max="3857" width="12.7265625" style="290" bestFit="1" customWidth="1"/>
    <col min="3858" max="3858" width="17.26953125" style="290" bestFit="1" customWidth="1"/>
    <col min="3859" max="3859" width="14.7265625" style="290" bestFit="1" customWidth="1"/>
    <col min="3860" max="3860" width="10.26953125" style="290" bestFit="1" customWidth="1"/>
    <col min="3861" max="3861" width="12.453125" style="290" customWidth="1"/>
    <col min="3862" max="4096" width="9.26953125" style="290"/>
    <col min="4097" max="4097" width="8" style="290" bestFit="1" customWidth="1"/>
    <col min="4098" max="4098" width="16.54296875" style="290" bestFit="1" customWidth="1"/>
    <col min="4099" max="4099" width="10.26953125" style="290" bestFit="1" customWidth="1"/>
    <col min="4100" max="4100" width="10.453125" style="290" bestFit="1" customWidth="1"/>
    <col min="4101" max="4101" width="21.26953125" style="290" bestFit="1" customWidth="1"/>
    <col min="4102" max="4103" width="11.7265625" style="290" bestFit="1" customWidth="1"/>
    <col min="4104" max="4105" width="9.26953125" style="290" bestFit="1" customWidth="1"/>
    <col min="4106" max="4106" width="12.7265625" style="290" bestFit="1" customWidth="1"/>
    <col min="4107" max="4107" width="5" style="290" bestFit="1" customWidth="1"/>
    <col min="4108" max="4108" width="5.7265625" style="290" bestFit="1" customWidth="1"/>
    <col min="4109" max="4109" width="8.7265625" style="290" bestFit="1" customWidth="1"/>
    <col min="4110" max="4110" width="6.453125" style="290" bestFit="1" customWidth="1"/>
    <col min="4111" max="4111" width="10.453125" style="290" bestFit="1" customWidth="1"/>
    <col min="4112" max="4112" width="15.7265625" style="290" bestFit="1" customWidth="1"/>
    <col min="4113" max="4113" width="12.7265625" style="290" bestFit="1" customWidth="1"/>
    <col min="4114" max="4114" width="17.26953125" style="290" bestFit="1" customWidth="1"/>
    <col min="4115" max="4115" width="14.7265625" style="290" bestFit="1" customWidth="1"/>
    <col min="4116" max="4116" width="10.26953125" style="290" bestFit="1" customWidth="1"/>
    <col min="4117" max="4117" width="12.453125" style="290" customWidth="1"/>
    <col min="4118" max="4352" width="9.26953125" style="290"/>
    <col min="4353" max="4353" width="8" style="290" bestFit="1" customWidth="1"/>
    <col min="4354" max="4354" width="16.54296875" style="290" bestFit="1" customWidth="1"/>
    <col min="4355" max="4355" width="10.26953125" style="290" bestFit="1" customWidth="1"/>
    <col min="4356" max="4356" width="10.453125" style="290" bestFit="1" customWidth="1"/>
    <col min="4357" max="4357" width="21.26953125" style="290" bestFit="1" customWidth="1"/>
    <col min="4358" max="4359" width="11.7265625" style="290" bestFit="1" customWidth="1"/>
    <col min="4360" max="4361" width="9.26953125" style="290" bestFit="1" customWidth="1"/>
    <col min="4362" max="4362" width="12.7265625" style="290" bestFit="1" customWidth="1"/>
    <col min="4363" max="4363" width="5" style="290" bestFit="1" customWidth="1"/>
    <col min="4364" max="4364" width="5.7265625" style="290" bestFit="1" customWidth="1"/>
    <col min="4365" max="4365" width="8.7265625" style="290" bestFit="1" customWidth="1"/>
    <col min="4366" max="4366" width="6.453125" style="290" bestFit="1" customWidth="1"/>
    <col min="4367" max="4367" width="10.453125" style="290" bestFit="1" customWidth="1"/>
    <col min="4368" max="4368" width="15.7265625" style="290" bestFit="1" customWidth="1"/>
    <col min="4369" max="4369" width="12.7265625" style="290" bestFit="1" customWidth="1"/>
    <col min="4370" max="4370" width="17.26953125" style="290" bestFit="1" customWidth="1"/>
    <col min="4371" max="4371" width="14.7265625" style="290" bestFit="1" customWidth="1"/>
    <col min="4372" max="4372" width="10.26953125" style="290" bestFit="1" customWidth="1"/>
    <col min="4373" max="4373" width="12.453125" style="290" customWidth="1"/>
    <col min="4374" max="4608" width="9.26953125" style="290"/>
    <col min="4609" max="4609" width="8" style="290" bestFit="1" customWidth="1"/>
    <col min="4610" max="4610" width="16.54296875" style="290" bestFit="1" customWidth="1"/>
    <col min="4611" max="4611" width="10.26953125" style="290" bestFit="1" customWidth="1"/>
    <col min="4612" max="4612" width="10.453125" style="290" bestFit="1" customWidth="1"/>
    <col min="4613" max="4613" width="21.26953125" style="290" bestFit="1" customWidth="1"/>
    <col min="4614" max="4615" width="11.7265625" style="290" bestFit="1" customWidth="1"/>
    <col min="4616" max="4617" width="9.26953125" style="290" bestFit="1" customWidth="1"/>
    <col min="4618" max="4618" width="12.7265625" style="290" bestFit="1" customWidth="1"/>
    <col min="4619" max="4619" width="5" style="290" bestFit="1" customWidth="1"/>
    <col min="4620" max="4620" width="5.7265625" style="290" bestFit="1" customWidth="1"/>
    <col min="4621" max="4621" width="8.7265625" style="290" bestFit="1" customWidth="1"/>
    <col min="4622" max="4622" width="6.453125" style="290" bestFit="1" customWidth="1"/>
    <col min="4623" max="4623" width="10.453125" style="290" bestFit="1" customWidth="1"/>
    <col min="4624" max="4624" width="15.7265625" style="290" bestFit="1" customWidth="1"/>
    <col min="4625" max="4625" width="12.7265625" style="290" bestFit="1" customWidth="1"/>
    <col min="4626" max="4626" width="17.26953125" style="290" bestFit="1" customWidth="1"/>
    <col min="4627" max="4627" width="14.7265625" style="290" bestFit="1" customWidth="1"/>
    <col min="4628" max="4628" width="10.26953125" style="290" bestFit="1" customWidth="1"/>
    <col min="4629" max="4629" width="12.453125" style="290" customWidth="1"/>
    <col min="4630" max="4864" width="9.26953125" style="290"/>
    <col min="4865" max="4865" width="8" style="290" bestFit="1" customWidth="1"/>
    <col min="4866" max="4866" width="16.54296875" style="290" bestFit="1" customWidth="1"/>
    <col min="4867" max="4867" width="10.26953125" style="290" bestFit="1" customWidth="1"/>
    <col min="4868" max="4868" width="10.453125" style="290" bestFit="1" customWidth="1"/>
    <col min="4869" max="4869" width="21.26953125" style="290" bestFit="1" customWidth="1"/>
    <col min="4870" max="4871" width="11.7265625" style="290" bestFit="1" customWidth="1"/>
    <col min="4872" max="4873" width="9.26953125" style="290" bestFit="1" customWidth="1"/>
    <col min="4874" max="4874" width="12.7265625" style="290" bestFit="1" customWidth="1"/>
    <col min="4875" max="4875" width="5" style="290" bestFit="1" customWidth="1"/>
    <col min="4876" max="4876" width="5.7265625" style="290" bestFit="1" customWidth="1"/>
    <col min="4877" max="4877" width="8.7265625" style="290" bestFit="1" customWidth="1"/>
    <col min="4878" max="4878" width="6.453125" style="290" bestFit="1" customWidth="1"/>
    <col min="4879" max="4879" width="10.453125" style="290" bestFit="1" customWidth="1"/>
    <col min="4880" max="4880" width="15.7265625" style="290" bestFit="1" customWidth="1"/>
    <col min="4881" max="4881" width="12.7265625" style="290" bestFit="1" customWidth="1"/>
    <col min="4882" max="4882" width="17.26953125" style="290" bestFit="1" customWidth="1"/>
    <col min="4883" max="4883" width="14.7265625" style="290" bestFit="1" customWidth="1"/>
    <col min="4884" max="4884" width="10.26953125" style="290" bestFit="1" customWidth="1"/>
    <col min="4885" max="4885" width="12.453125" style="290" customWidth="1"/>
    <col min="4886" max="5120" width="9.26953125" style="290"/>
    <col min="5121" max="5121" width="8" style="290" bestFit="1" customWidth="1"/>
    <col min="5122" max="5122" width="16.54296875" style="290" bestFit="1" customWidth="1"/>
    <col min="5123" max="5123" width="10.26953125" style="290" bestFit="1" customWidth="1"/>
    <col min="5124" max="5124" width="10.453125" style="290" bestFit="1" customWidth="1"/>
    <col min="5125" max="5125" width="21.26953125" style="290" bestFit="1" customWidth="1"/>
    <col min="5126" max="5127" width="11.7265625" style="290" bestFit="1" customWidth="1"/>
    <col min="5128" max="5129" width="9.26953125" style="290" bestFit="1" customWidth="1"/>
    <col min="5130" max="5130" width="12.7265625" style="290" bestFit="1" customWidth="1"/>
    <col min="5131" max="5131" width="5" style="290" bestFit="1" customWidth="1"/>
    <col min="5132" max="5132" width="5.7265625" style="290" bestFit="1" customWidth="1"/>
    <col min="5133" max="5133" width="8.7265625" style="290" bestFit="1" customWidth="1"/>
    <col min="5134" max="5134" width="6.453125" style="290" bestFit="1" customWidth="1"/>
    <col min="5135" max="5135" width="10.453125" style="290" bestFit="1" customWidth="1"/>
    <col min="5136" max="5136" width="15.7265625" style="290" bestFit="1" customWidth="1"/>
    <col min="5137" max="5137" width="12.7265625" style="290" bestFit="1" customWidth="1"/>
    <col min="5138" max="5138" width="17.26953125" style="290" bestFit="1" customWidth="1"/>
    <col min="5139" max="5139" width="14.7265625" style="290" bestFit="1" customWidth="1"/>
    <col min="5140" max="5140" width="10.26953125" style="290" bestFit="1" customWidth="1"/>
    <col min="5141" max="5141" width="12.453125" style="290" customWidth="1"/>
    <col min="5142" max="5376" width="9.26953125" style="290"/>
    <col min="5377" max="5377" width="8" style="290" bestFit="1" customWidth="1"/>
    <col min="5378" max="5378" width="16.54296875" style="290" bestFit="1" customWidth="1"/>
    <col min="5379" max="5379" width="10.26953125" style="290" bestFit="1" customWidth="1"/>
    <col min="5380" max="5380" width="10.453125" style="290" bestFit="1" customWidth="1"/>
    <col min="5381" max="5381" width="21.26953125" style="290" bestFit="1" customWidth="1"/>
    <col min="5382" max="5383" width="11.7265625" style="290" bestFit="1" customWidth="1"/>
    <col min="5384" max="5385" width="9.26953125" style="290" bestFit="1" customWidth="1"/>
    <col min="5386" max="5386" width="12.7265625" style="290" bestFit="1" customWidth="1"/>
    <col min="5387" max="5387" width="5" style="290" bestFit="1" customWidth="1"/>
    <col min="5388" max="5388" width="5.7265625" style="290" bestFit="1" customWidth="1"/>
    <col min="5389" max="5389" width="8.7265625" style="290" bestFit="1" customWidth="1"/>
    <col min="5390" max="5390" width="6.453125" style="290" bestFit="1" customWidth="1"/>
    <col min="5391" max="5391" width="10.453125" style="290" bestFit="1" customWidth="1"/>
    <col min="5392" max="5392" width="15.7265625" style="290" bestFit="1" customWidth="1"/>
    <col min="5393" max="5393" width="12.7265625" style="290" bestFit="1" customWidth="1"/>
    <col min="5394" max="5394" width="17.26953125" style="290" bestFit="1" customWidth="1"/>
    <col min="5395" max="5395" width="14.7265625" style="290" bestFit="1" customWidth="1"/>
    <col min="5396" max="5396" width="10.26953125" style="290" bestFit="1" customWidth="1"/>
    <col min="5397" max="5397" width="12.453125" style="290" customWidth="1"/>
    <col min="5398" max="5632" width="9.26953125" style="290"/>
    <col min="5633" max="5633" width="8" style="290" bestFit="1" customWidth="1"/>
    <col min="5634" max="5634" width="16.54296875" style="290" bestFit="1" customWidth="1"/>
    <col min="5635" max="5635" width="10.26953125" style="290" bestFit="1" customWidth="1"/>
    <col min="5636" max="5636" width="10.453125" style="290" bestFit="1" customWidth="1"/>
    <col min="5637" max="5637" width="21.26953125" style="290" bestFit="1" customWidth="1"/>
    <col min="5638" max="5639" width="11.7265625" style="290" bestFit="1" customWidth="1"/>
    <col min="5640" max="5641" width="9.26953125" style="290" bestFit="1" customWidth="1"/>
    <col min="5642" max="5642" width="12.7265625" style="290" bestFit="1" customWidth="1"/>
    <col min="5643" max="5643" width="5" style="290" bestFit="1" customWidth="1"/>
    <col min="5644" max="5644" width="5.7265625" style="290" bestFit="1" customWidth="1"/>
    <col min="5645" max="5645" width="8.7265625" style="290" bestFit="1" customWidth="1"/>
    <col min="5646" max="5646" width="6.453125" style="290" bestFit="1" customWidth="1"/>
    <col min="5647" max="5647" width="10.453125" style="290" bestFit="1" customWidth="1"/>
    <col min="5648" max="5648" width="15.7265625" style="290" bestFit="1" customWidth="1"/>
    <col min="5649" max="5649" width="12.7265625" style="290" bestFit="1" customWidth="1"/>
    <col min="5650" max="5650" width="17.26953125" style="290" bestFit="1" customWidth="1"/>
    <col min="5651" max="5651" width="14.7265625" style="290" bestFit="1" customWidth="1"/>
    <col min="5652" max="5652" width="10.26953125" style="290" bestFit="1" customWidth="1"/>
    <col min="5653" max="5653" width="12.453125" style="290" customWidth="1"/>
    <col min="5654" max="5888" width="9.26953125" style="290"/>
    <col min="5889" max="5889" width="8" style="290" bestFit="1" customWidth="1"/>
    <col min="5890" max="5890" width="16.54296875" style="290" bestFit="1" customWidth="1"/>
    <col min="5891" max="5891" width="10.26953125" style="290" bestFit="1" customWidth="1"/>
    <col min="5892" max="5892" width="10.453125" style="290" bestFit="1" customWidth="1"/>
    <col min="5893" max="5893" width="21.26953125" style="290" bestFit="1" customWidth="1"/>
    <col min="5894" max="5895" width="11.7265625" style="290" bestFit="1" customWidth="1"/>
    <col min="5896" max="5897" width="9.26953125" style="290" bestFit="1" customWidth="1"/>
    <col min="5898" max="5898" width="12.7265625" style="290" bestFit="1" customWidth="1"/>
    <col min="5899" max="5899" width="5" style="290" bestFit="1" customWidth="1"/>
    <col min="5900" max="5900" width="5.7265625" style="290" bestFit="1" customWidth="1"/>
    <col min="5901" max="5901" width="8.7265625" style="290" bestFit="1" customWidth="1"/>
    <col min="5902" max="5902" width="6.453125" style="290" bestFit="1" customWidth="1"/>
    <col min="5903" max="5903" width="10.453125" style="290" bestFit="1" customWidth="1"/>
    <col min="5904" max="5904" width="15.7265625" style="290" bestFit="1" customWidth="1"/>
    <col min="5905" max="5905" width="12.7265625" style="290" bestFit="1" customWidth="1"/>
    <col min="5906" max="5906" width="17.26953125" style="290" bestFit="1" customWidth="1"/>
    <col min="5907" max="5907" width="14.7265625" style="290" bestFit="1" customWidth="1"/>
    <col min="5908" max="5908" width="10.26953125" style="290" bestFit="1" customWidth="1"/>
    <col min="5909" max="5909" width="12.453125" style="290" customWidth="1"/>
    <col min="5910" max="6144" width="9.26953125" style="290"/>
    <col min="6145" max="6145" width="8" style="290" bestFit="1" customWidth="1"/>
    <col min="6146" max="6146" width="16.54296875" style="290" bestFit="1" customWidth="1"/>
    <col min="6147" max="6147" width="10.26953125" style="290" bestFit="1" customWidth="1"/>
    <col min="6148" max="6148" width="10.453125" style="290" bestFit="1" customWidth="1"/>
    <col min="6149" max="6149" width="21.26953125" style="290" bestFit="1" customWidth="1"/>
    <col min="6150" max="6151" width="11.7265625" style="290" bestFit="1" customWidth="1"/>
    <col min="6152" max="6153" width="9.26953125" style="290" bestFit="1" customWidth="1"/>
    <col min="6154" max="6154" width="12.7265625" style="290" bestFit="1" customWidth="1"/>
    <col min="6155" max="6155" width="5" style="290" bestFit="1" customWidth="1"/>
    <col min="6156" max="6156" width="5.7265625" style="290" bestFit="1" customWidth="1"/>
    <col min="6157" max="6157" width="8.7265625" style="290" bestFit="1" customWidth="1"/>
    <col min="6158" max="6158" width="6.453125" style="290" bestFit="1" customWidth="1"/>
    <col min="6159" max="6159" width="10.453125" style="290" bestFit="1" customWidth="1"/>
    <col min="6160" max="6160" width="15.7265625" style="290" bestFit="1" customWidth="1"/>
    <col min="6161" max="6161" width="12.7265625" style="290" bestFit="1" customWidth="1"/>
    <col min="6162" max="6162" width="17.26953125" style="290" bestFit="1" customWidth="1"/>
    <col min="6163" max="6163" width="14.7265625" style="290" bestFit="1" customWidth="1"/>
    <col min="6164" max="6164" width="10.26953125" style="290" bestFit="1" customWidth="1"/>
    <col min="6165" max="6165" width="12.453125" style="290" customWidth="1"/>
    <col min="6166" max="6400" width="9.26953125" style="290"/>
    <col min="6401" max="6401" width="8" style="290" bestFit="1" customWidth="1"/>
    <col min="6402" max="6402" width="16.54296875" style="290" bestFit="1" customWidth="1"/>
    <col min="6403" max="6403" width="10.26953125" style="290" bestFit="1" customWidth="1"/>
    <col min="6404" max="6404" width="10.453125" style="290" bestFit="1" customWidth="1"/>
    <col min="6405" max="6405" width="21.26953125" style="290" bestFit="1" customWidth="1"/>
    <col min="6406" max="6407" width="11.7265625" style="290" bestFit="1" customWidth="1"/>
    <col min="6408" max="6409" width="9.26953125" style="290" bestFit="1" customWidth="1"/>
    <col min="6410" max="6410" width="12.7265625" style="290" bestFit="1" customWidth="1"/>
    <col min="6411" max="6411" width="5" style="290" bestFit="1" customWidth="1"/>
    <col min="6412" max="6412" width="5.7265625" style="290" bestFit="1" customWidth="1"/>
    <col min="6413" max="6413" width="8.7265625" style="290" bestFit="1" customWidth="1"/>
    <col min="6414" max="6414" width="6.453125" style="290" bestFit="1" customWidth="1"/>
    <col min="6415" max="6415" width="10.453125" style="290" bestFit="1" customWidth="1"/>
    <col min="6416" max="6416" width="15.7265625" style="290" bestFit="1" customWidth="1"/>
    <col min="6417" max="6417" width="12.7265625" style="290" bestFit="1" customWidth="1"/>
    <col min="6418" max="6418" width="17.26953125" style="290" bestFit="1" customWidth="1"/>
    <col min="6419" max="6419" width="14.7265625" style="290" bestFit="1" customWidth="1"/>
    <col min="6420" max="6420" width="10.26953125" style="290" bestFit="1" customWidth="1"/>
    <col min="6421" max="6421" width="12.453125" style="290" customWidth="1"/>
    <col min="6422" max="6656" width="9.26953125" style="290"/>
    <col min="6657" max="6657" width="8" style="290" bestFit="1" customWidth="1"/>
    <col min="6658" max="6658" width="16.54296875" style="290" bestFit="1" customWidth="1"/>
    <col min="6659" max="6659" width="10.26953125" style="290" bestFit="1" customWidth="1"/>
    <col min="6660" max="6660" width="10.453125" style="290" bestFit="1" customWidth="1"/>
    <col min="6661" max="6661" width="21.26953125" style="290" bestFit="1" customWidth="1"/>
    <col min="6662" max="6663" width="11.7265625" style="290" bestFit="1" customWidth="1"/>
    <col min="6664" max="6665" width="9.26953125" style="290" bestFit="1" customWidth="1"/>
    <col min="6666" max="6666" width="12.7265625" style="290" bestFit="1" customWidth="1"/>
    <col min="6667" max="6667" width="5" style="290" bestFit="1" customWidth="1"/>
    <col min="6668" max="6668" width="5.7265625" style="290" bestFit="1" customWidth="1"/>
    <col min="6669" max="6669" width="8.7265625" style="290" bestFit="1" customWidth="1"/>
    <col min="6670" max="6670" width="6.453125" style="290" bestFit="1" customWidth="1"/>
    <col min="6671" max="6671" width="10.453125" style="290" bestFit="1" customWidth="1"/>
    <col min="6672" max="6672" width="15.7265625" style="290" bestFit="1" customWidth="1"/>
    <col min="6673" max="6673" width="12.7265625" style="290" bestFit="1" customWidth="1"/>
    <col min="6674" max="6674" width="17.26953125" style="290" bestFit="1" customWidth="1"/>
    <col min="6675" max="6675" width="14.7265625" style="290" bestFit="1" customWidth="1"/>
    <col min="6676" max="6676" width="10.26953125" style="290" bestFit="1" customWidth="1"/>
    <col min="6677" max="6677" width="12.453125" style="290" customWidth="1"/>
    <col min="6678" max="6912" width="9.26953125" style="290"/>
    <col min="6913" max="6913" width="8" style="290" bestFit="1" customWidth="1"/>
    <col min="6914" max="6914" width="16.54296875" style="290" bestFit="1" customWidth="1"/>
    <col min="6915" max="6915" width="10.26953125" style="290" bestFit="1" customWidth="1"/>
    <col min="6916" max="6916" width="10.453125" style="290" bestFit="1" customWidth="1"/>
    <col min="6917" max="6917" width="21.26953125" style="290" bestFit="1" customWidth="1"/>
    <col min="6918" max="6919" width="11.7265625" style="290" bestFit="1" customWidth="1"/>
    <col min="6920" max="6921" width="9.26953125" style="290" bestFit="1" customWidth="1"/>
    <col min="6922" max="6922" width="12.7265625" style="290" bestFit="1" customWidth="1"/>
    <col min="6923" max="6923" width="5" style="290" bestFit="1" customWidth="1"/>
    <col min="6924" max="6924" width="5.7265625" style="290" bestFit="1" customWidth="1"/>
    <col min="6925" max="6925" width="8.7265625" style="290" bestFit="1" customWidth="1"/>
    <col min="6926" max="6926" width="6.453125" style="290" bestFit="1" customWidth="1"/>
    <col min="6927" max="6927" width="10.453125" style="290" bestFit="1" customWidth="1"/>
    <col min="6928" max="6928" width="15.7265625" style="290" bestFit="1" customWidth="1"/>
    <col min="6929" max="6929" width="12.7265625" style="290" bestFit="1" customWidth="1"/>
    <col min="6930" max="6930" width="17.26953125" style="290" bestFit="1" customWidth="1"/>
    <col min="6931" max="6931" width="14.7265625" style="290" bestFit="1" customWidth="1"/>
    <col min="6932" max="6932" width="10.26953125" style="290" bestFit="1" customWidth="1"/>
    <col min="6933" max="6933" width="12.453125" style="290" customWidth="1"/>
    <col min="6934" max="7168" width="9.26953125" style="290"/>
    <col min="7169" max="7169" width="8" style="290" bestFit="1" customWidth="1"/>
    <col min="7170" max="7170" width="16.54296875" style="290" bestFit="1" customWidth="1"/>
    <col min="7171" max="7171" width="10.26953125" style="290" bestFit="1" customWidth="1"/>
    <col min="7172" max="7172" width="10.453125" style="290" bestFit="1" customWidth="1"/>
    <col min="7173" max="7173" width="21.26953125" style="290" bestFit="1" customWidth="1"/>
    <col min="7174" max="7175" width="11.7265625" style="290" bestFit="1" customWidth="1"/>
    <col min="7176" max="7177" width="9.26953125" style="290" bestFit="1" customWidth="1"/>
    <col min="7178" max="7178" width="12.7265625" style="290" bestFit="1" customWidth="1"/>
    <col min="7179" max="7179" width="5" style="290" bestFit="1" customWidth="1"/>
    <col min="7180" max="7180" width="5.7265625" style="290" bestFit="1" customWidth="1"/>
    <col min="7181" max="7181" width="8.7265625" style="290" bestFit="1" customWidth="1"/>
    <col min="7182" max="7182" width="6.453125" style="290" bestFit="1" customWidth="1"/>
    <col min="7183" max="7183" width="10.453125" style="290" bestFit="1" customWidth="1"/>
    <col min="7184" max="7184" width="15.7265625" style="290" bestFit="1" customWidth="1"/>
    <col min="7185" max="7185" width="12.7265625" style="290" bestFit="1" customWidth="1"/>
    <col min="7186" max="7186" width="17.26953125" style="290" bestFit="1" customWidth="1"/>
    <col min="7187" max="7187" width="14.7265625" style="290" bestFit="1" customWidth="1"/>
    <col min="7188" max="7188" width="10.26953125" style="290" bestFit="1" customWidth="1"/>
    <col min="7189" max="7189" width="12.453125" style="290" customWidth="1"/>
    <col min="7190" max="7424" width="9.26953125" style="290"/>
    <col min="7425" max="7425" width="8" style="290" bestFit="1" customWidth="1"/>
    <col min="7426" max="7426" width="16.54296875" style="290" bestFit="1" customWidth="1"/>
    <col min="7427" max="7427" width="10.26953125" style="290" bestFit="1" customWidth="1"/>
    <col min="7428" max="7428" width="10.453125" style="290" bestFit="1" customWidth="1"/>
    <col min="7429" max="7429" width="21.26953125" style="290" bestFit="1" customWidth="1"/>
    <col min="7430" max="7431" width="11.7265625" style="290" bestFit="1" customWidth="1"/>
    <col min="7432" max="7433" width="9.26953125" style="290" bestFit="1" customWidth="1"/>
    <col min="7434" max="7434" width="12.7265625" style="290" bestFit="1" customWidth="1"/>
    <col min="7435" max="7435" width="5" style="290" bestFit="1" customWidth="1"/>
    <col min="7436" max="7436" width="5.7265625" style="290" bestFit="1" customWidth="1"/>
    <col min="7437" max="7437" width="8.7265625" style="290" bestFit="1" customWidth="1"/>
    <col min="7438" max="7438" width="6.453125" style="290" bestFit="1" customWidth="1"/>
    <col min="7439" max="7439" width="10.453125" style="290" bestFit="1" customWidth="1"/>
    <col min="7440" max="7440" width="15.7265625" style="290" bestFit="1" customWidth="1"/>
    <col min="7441" max="7441" width="12.7265625" style="290" bestFit="1" customWidth="1"/>
    <col min="7442" max="7442" width="17.26953125" style="290" bestFit="1" customWidth="1"/>
    <col min="7443" max="7443" width="14.7265625" style="290" bestFit="1" customWidth="1"/>
    <col min="7444" max="7444" width="10.26953125" style="290" bestFit="1" customWidth="1"/>
    <col min="7445" max="7445" width="12.453125" style="290" customWidth="1"/>
    <col min="7446" max="7680" width="9.26953125" style="290"/>
    <col min="7681" max="7681" width="8" style="290" bestFit="1" customWidth="1"/>
    <col min="7682" max="7682" width="16.54296875" style="290" bestFit="1" customWidth="1"/>
    <col min="7683" max="7683" width="10.26953125" style="290" bestFit="1" customWidth="1"/>
    <col min="7684" max="7684" width="10.453125" style="290" bestFit="1" customWidth="1"/>
    <col min="7685" max="7685" width="21.26953125" style="290" bestFit="1" customWidth="1"/>
    <col min="7686" max="7687" width="11.7265625" style="290" bestFit="1" customWidth="1"/>
    <col min="7688" max="7689" width="9.26953125" style="290" bestFit="1" customWidth="1"/>
    <col min="7690" max="7690" width="12.7265625" style="290" bestFit="1" customWidth="1"/>
    <col min="7691" max="7691" width="5" style="290" bestFit="1" customWidth="1"/>
    <col min="7692" max="7692" width="5.7265625" style="290" bestFit="1" customWidth="1"/>
    <col min="7693" max="7693" width="8.7265625" style="290" bestFit="1" customWidth="1"/>
    <col min="7694" max="7694" width="6.453125" style="290" bestFit="1" customWidth="1"/>
    <col min="7695" max="7695" width="10.453125" style="290" bestFit="1" customWidth="1"/>
    <col min="7696" max="7696" width="15.7265625" style="290" bestFit="1" customWidth="1"/>
    <col min="7697" max="7697" width="12.7265625" style="290" bestFit="1" customWidth="1"/>
    <col min="7698" max="7698" width="17.26953125" style="290" bestFit="1" customWidth="1"/>
    <col min="7699" max="7699" width="14.7265625" style="290" bestFit="1" customWidth="1"/>
    <col min="7700" max="7700" width="10.26953125" style="290" bestFit="1" customWidth="1"/>
    <col min="7701" max="7701" width="12.453125" style="290" customWidth="1"/>
    <col min="7702" max="7936" width="9.26953125" style="290"/>
    <col min="7937" max="7937" width="8" style="290" bestFit="1" customWidth="1"/>
    <col min="7938" max="7938" width="16.54296875" style="290" bestFit="1" customWidth="1"/>
    <col min="7939" max="7939" width="10.26953125" style="290" bestFit="1" customWidth="1"/>
    <col min="7940" max="7940" width="10.453125" style="290" bestFit="1" customWidth="1"/>
    <col min="7941" max="7941" width="21.26953125" style="290" bestFit="1" customWidth="1"/>
    <col min="7942" max="7943" width="11.7265625" style="290" bestFit="1" customWidth="1"/>
    <col min="7944" max="7945" width="9.26953125" style="290" bestFit="1" customWidth="1"/>
    <col min="7946" max="7946" width="12.7265625" style="290" bestFit="1" customWidth="1"/>
    <col min="7947" max="7947" width="5" style="290" bestFit="1" customWidth="1"/>
    <col min="7948" max="7948" width="5.7265625" style="290" bestFit="1" customWidth="1"/>
    <col min="7949" max="7949" width="8.7265625" style="290" bestFit="1" customWidth="1"/>
    <col min="7950" max="7950" width="6.453125" style="290" bestFit="1" customWidth="1"/>
    <col min="7951" max="7951" width="10.453125" style="290" bestFit="1" customWidth="1"/>
    <col min="7952" max="7952" width="15.7265625" style="290" bestFit="1" customWidth="1"/>
    <col min="7953" max="7953" width="12.7265625" style="290" bestFit="1" customWidth="1"/>
    <col min="7954" max="7954" width="17.26953125" style="290" bestFit="1" customWidth="1"/>
    <col min="7955" max="7955" width="14.7265625" style="290" bestFit="1" customWidth="1"/>
    <col min="7956" max="7956" width="10.26953125" style="290" bestFit="1" customWidth="1"/>
    <col min="7957" max="7957" width="12.453125" style="290" customWidth="1"/>
    <col min="7958" max="8192" width="9.26953125" style="290"/>
    <col min="8193" max="8193" width="8" style="290" bestFit="1" customWidth="1"/>
    <col min="8194" max="8194" width="16.54296875" style="290" bestFit="1" customWidth="1"/>
    <col min="8195" max="8195" width="10.26953125" style="290" bestFit="1" customWidth="1"/>
    <col min="8196" max="8196" width="10.453125" style="290" bestFit="1" customWidth="1"/>
    <col min="8197" max="8197" width="21.26953125" style="290" bestFit="1" customWidth="1"/>
    <col min="8198" max="8199" width="11.7265625" style="290" bestFit="1" customWidth="1"/>
    <col min="8200" max="8201" width="9.26953125" style="290" bestFit="1" customWidth="1"/>
    <col min="8202" max="8202" width="12.7265625" style="290" bestFit="1" customWidth="1"/>
    <col min="8203" max="8203" width="5" style="290" bestFit="1" customWidth="1"/>
    <col min="8204" max="8204" width="5.7265625" style="290" bestFit="1" customWidth="1"/>
    <col min="8205" max="8205" width="8.7265625" style="290" bestFit="1" customWidth="1"/>
    <col min="8206" max="8206" width="6.453125" style="290" bestFit="1" customWidth="1"/>
    <col min="8207" max="8207" width="10.453125" style="290" bestFit="1" customWidth="1"/>
    <col min="8208" max="8208" width="15.7265625" style="290" bestFit="1" customWidth="1"/>
    <col min="8209" max="8209" width="12.7265625" style="290" bestFit="1" customWidth="1"/>
    <col min="8210" max="8210" width="17.26953125" style="290" bestFit="1" customWidth="1"/>
    <col min="8211" max="8211" width="14.7265625" style="290" bestFit="1" customWidth="1"/>
    <col min="8212" max="8212" width="10.26953125" style="290" bestFit="1" customWidth="1"/>
    <col min="8213" max="8213" width="12.453125" style="290" customWidth="1"/>
    <col min="8214" max="8448" width="9.26953125" style="290"/>
    <col min="8449" max="8449" width="8" style="290" bestFit="1" customWidth="1"/>
    <col min="8450" max="8450" width="16.54296875" style="290" bestFit="1" customWidth="1"/>
    <col min="8451" max="8451" width="10.26953125" style="290" bestFit="1" customWidth="1"/>
    <col min="8452" max="8452" width="10.453125" style="290" bestFit="1" customWidth="1"/>
    <col min="8453" max="8453" width="21.26953125" style="290" bestFit="1" customWidth="1"/>
    <col min="8454" max="8455" width="11.7265625" style="290" bestFit="1" customWidth="1"/>
    <col min="8456" max="8457" width="9.26953125" style="290" bestFit="1" customWidth="1"/>
    <col min="8458" max="8458" width="12.7265625" style="290" bestFit="1" customWidth="1"/>
    <col min="8459" max="8459" width="5" style="290" bestFit="1" customWidth="1"/>
    <col min="8460" max="8460" width="5.7265625" style="290" bestFit="1" customWidth="1"/>
    <col min="8461" max="8461" width="8.7265625" style="290" bestFit="1" customWidth="1"/>
    <col min="8462" max="8462" width="6.453125" style="290" bestFit="1" customWidth="1"/>
    <col min="8463" max="8463" width="10.453125" style="290" bestFit="1" customWidth="1"/>
    <col min="8464" max="8464" width="15.7265625" style="290" bestFit="1" customWidth="1"/>
    <col min="8465" max="8465" width="12.7265625" style="290" bestFit="1" customWidth="1"/>
    <col min="8466" max="8466" width="17.26953125" style="290" bestFit="1" customWidth="1"/>
    <col min="8467" max="8467" width="14.7265625" style="290" bestFit="1" customWidth="1"/>
    <col min="8468" max="8468" width="10.26953125" style="290" bestFit="1" customWidth="1"/>
    <col min="8469" max="8469" width="12.453125" style="290" customWidth="1"/>
    <col min="8470" max="8704" width="9.26953125" style="290"/>
    <col min="8705" max="8705" width="8" style="290" bestFit="1" customWidth="1"/>
    <col min="8706" max="8706" width="16.54296875" style="290" bestFit="1" customWidth="1"/>
    <col min="8707" max="8707" width="10.26953125" style="290" bestFit="1" customWidth="1"/>
    <col min="8708" max="8708" width="10.453125" style="290" bestFit="1" customWidth="1"/>
    <col min="8709" max="8709" width="21.26953125" style="290" bestFit="1" customWidth="1"/>
    <col min="8710" max="8711" width="11.7265625" style="290" bestFit="1" customWidth="1"/>
    <col min="8712" max="8713" width="9.26953125" style="290" bestFit="1" customWidth="1"/>
    <col min="8714" max="8714" width="12.7265625" style="290" bestFit="1" customWidth="1"/>
    <col min="8715" max="8715" width="5" style="290" bestFit="1" customWidth="1"/>
    <col min="8716" max="8716" width="5.7265625" style="290" bestFit="1" customWidth="1"/>
    <col min="8717" max="8717" width="8.7265625" style="290" bestFit="1" customWidth="1"/>
    <col min="8718" max="8718" width="6.453125" style="290" bestFit="1" customWidth="1"/>
    <col min="8719" max="8719" width="10.453125" style="290" bestFit="1" customWidth="1"/>
    <col min="8720" max="8720" width="15.7265625" style="290" bestFit="1" customWidth="1"/>
    <col min="8721" max="8721" width="12.7265625" style="290" bestFit="1" customWidth="1"/>
    <col min="8722" max="8722" width="17.26953125" style="290" bestFit="1" customWidth="1"/>
    <col min="8723" max="8723" width="14.7265625" style="290" bestFit="1" customWidth="1"/>
    <col min="8724" max="8724" width="10.26953125" style="290" bestFit="1" customWidth="1"/>
    <col min="8725" max="8725" width="12.453125" style="290" customWidth="1"/>
    <col min="8726" max="8960" width="9.26953125" style="290"/>
    <col min="8961" max="8961" width="8" style="290" bestFit="1" customWidth="1"/>
    <col min="8962" max="8962" width="16.54296875" style="290" bestFit="1" customWidth="1"/>
    <col min="8963" max="8963" width="10.26953125" style="290" bestFit="1" customWidth="1"/>
    <col min="8964" max="8964" width="10.453125" style="290" bestFit="1" customWidth="1"/>
    <col min="8965" max="8965" width="21.26953125" style="290" bestFit="1" customWidth="1"/>
    <col min="8966" max="8967" width="11.7265625" style="290" bestFit="1" customWidth="1"/>
    <col min="8968" max="8969" width="9.26953125" style="290" bestFit="1" customWidth="1"/>
    <col min="8970" max="8970" width="12.7265625" style="290" bestFit="1" customWidth="1"/>
    <col min="8971" max="8971" width="5" style="290" bestFit="1" customWidth="1"/>
    <col min="8972" max="8972" width="5.7265625" style="290" bestFit="1" customWidth="1"/>
    <col min="8973" max="8973" width="8.7265625" style="290" bestFit="1" customWidth="1"/>
    <col min="8974" max="8974" width="6.453125" style="290" bestFit="1" customWidth="1"/>
    <col min="8975" max="8975" width="10.453125" style="290" bestFit="1" customWidth="1"/>
    <col min="8976" max="8976" width="15.7265625" style="290" bestFit="1" customWidth="1"/>
    <col min="8977" max="8977" width="12.7265625" style="290" bestFit="1" customWidth="1"/>
    <col min="8978" max="8978" width="17.26953125" style="290" bestFit="1" customWidth="1"/>
    <col min="8979" max="8979" width="14.7265625" style="290" bestFit="1" customWidth="1"/>
    <col min="8980" max="8980" width="10.26953125" style="290" bestFit="1" customWidth="1"/>
    <col min="8981" max="8981" width="12.453125" style="290" customWidth="1"/>
    <col min="8982" max="9216" width="9.26953125" style="290"/>
    <col min="9217" max="9217" width="8" style="290" bestFit="1" customWidth="1"/>
    <col min="9218" max="9218" width="16.54296875" style="290" bestFit="1" customWidth="1"/>
    <col min="9219" max="9219" width="10.26953125" style="290" bestFit="1" customWidth="1"/>
    <col min="9220" max="9220" width="10.453125" style="290" bestFit="1" customWidth="1"/>
    <col min="9221" max="9221" width="21.26953125" style="290" bestFit="1" customWidth="1"/>
    <col min="9222" max="9223" width="11.7265625" style="290" bestFit="1" customWidth="1"/>
    <col min="9224" max="9225" width="9.26953125" style="290" bestFit="1" customWidth="1"/>
    <col min="9226" max="9226" width="12.7265625" style="290" bestFit="1" customWidth="1"/>
    <col min="9227" max="9227" width="5" style="290" bestFit="1" customWidth="1"/>
    <col min="9228" max="9228" width="5.7265625" style="290" bestFit="1" customWidth="1"/>
    <col min="9229" max="9229" width="8.7265625" style="290" bestFit="1" customWidth="1"/>
    <col min="9230" max="9230" width="6.453125" style="290" bestFit="1" customWidth="1"/>
    <col min="9231" max="9231" width="10.453125" style="290" bestFit="1" customWidth="1"/>
    <col min="9232" max="9232" width="15.7265625" style="290" bestFit="1" customWidth="1"/>
    <col min="9233" max="9233" width="12.7265625" style="290" bestFit="1" customWidth="1"/>
    <col min="9234" max="9234" width="17.26953125" style="290" bestFit="1" customWidth="1"/>
    <col min="9235" max="9235" width="14.7265625" style="290" bestFit="1" customWidth="1"/>
    <col min="9236" max="9236" width="10.26953125" style="290" bestFit="1" customWidth="1"/>
    <col min="9237" max="9237" width="12.453125" style="290" customWidth="1"/>
    <col min="9238" max="9472" width="9.26953125" style="290"/>
    <col min="9473" max="9473" width="8" style="290" bestFit="1" customWidth="1"/>
    <col min="9474" max="9474" width="16.54296875" style="290" bestFit="1" customWidth="1"/>
    <col min="9475" max="9475" width="10.26953125" style="290" bestFit="1" customWidth="1"/>
    <col min="9476" max="9476" width="10.453125" style="290" bestFit="1" customWidth="1"/>
    <col min="9477" max="9477" width="21.26953125" style="290" bestFit="1" customWidth="1"/>
    <col min="9478" max="9479" width="11.7265625" style="290" bestFit="1" customWidth="1"/>
    <col min="9480" max="9481" width="9.26953125" style="290" bestFit="1" customWidth="1"/>
    <col min="9482" max="9482" width="12.7265625" style="290" bestFit="1" customWidth="1"/>
    <col min="9483" max="9483" width="5" style="290" bestFit="1" customWidth="1"/>
    <col min="9484" max="9484" width="5.7265625" style="290" bestFit="1" customWidth="1"/>
    <col min="9485" max="9485" width="8.7265625" style="290" bestFit="1" customWidth="1"/>
    <col min="9486" max="9486" width="6.453125" style="290" bestFit="1" customWidth="1"/>
    <col min="9487" max="9487" width="10.453125" style="290" bestFit="1" customWidth="1"/>
    <col min="9488" max="9488" width="15.7265625" style="290" bestFit="1" customWidth="1"/>
    <col min="9489" max="9489" width="12.7265625" style="290" bestFit="1" customWidth="1"/>
    <col min="9490" max="9490" width="17.26953125" style="290" bestFit="1" customWidth="1"/>
    <col min="9491" max="9491" width="14.7265625" style="290" bestFit="1" customWidth="1"/>
    <col min="9492" max="9492" width="10.26953125" style="290" bestFit="1" customWidth="1"/>
    <col min="9493" max="9493" width="12.453125" style="290" customWidth="1"/>
    <col min="9494" max="9728" width="9.26953125" style="290"/>
    <col min="9729" max="9729" width="8" style="290" bestFit="1" customWidth="1"/>
    <col min="9730" max="9730" width="16.54296875" style="290" bestFit="1" customWidth="1"/>
    <col min="9731" max="9731" width="10.26953125" style="290" bestFit="1" customWidth="1"/>
    <col min="9732" max="9732" width="10.453125" style="290" bestFit="1" customWidth="1"/>
    <col min="9733" max="9733" width="21.26953125" style="290" bestFit="1" customWidth="1"/>
    <col min="9734" max="9735" width="11.7265625" style="290" bestFit="1" customWidth="1"/>
    <col min="9736" max="9737" width="9.26953125" style="290" bestFit="1" customWidth="1"/>
    <col min="9738" max="9738" width="12.7265625" style="290" bestFit="1" customWidth="1"/>
    <col min="9739" max="9739" width="5" style="290" bestFit="1" customWidth="1"/>
    <col min="9740" max="9740" width="5.7265625" style="290" bestFit="1" customWidth="1"/>
    <col min="9741" max="9741" width="8.7265625" style="290" bestFit="1" customWidth="1"/>
    <col min="9742" max="9742" width="6.453125" style="290" bestFit="1" customWidth="1"/>
    <col min="9743" max="9743" width="10.453125" style="290" bestFit="1" customWidth="1"/>
    <col min="9744" max="9744" width="15.7265625" style="290" bestFit="1" customWidth="1"/>
    <col min="9745" max="9745" width="12.7265625" style="290" bestFit="1" customWidth="1"/>
    <col min="9746" max="9746" width="17.26953125" style="290" bestFit="1" customWidth="1"/>
    <col min="9747" max="9747" width="14.7265625" style="290" bestFit="1" customWidth="1"/>
    <col min="9748" max="9748" width="10.26953125" style="290" bestFit="1" customWidth="1"/>
    <col min="9749" max="9749" width="12.453125" style="290" customWidth="1"/>
    <col min="9750" max="9984" width="9.26953125" style="290"/>
    <col min="9985" max="9985" width="8" style="290" bestFit="1" customWidth="1"/>
    <col min="9986" max="9986" width="16.54296875" style="290" bestFit="1" customWidth="1"/>
    <col min="9987" max="9987" width="10.26953125" style="290" bestFit="1" customWidth="1"/>
    <col min="9988" max="9988" width="10.453125" style="290" bestFit="1" customWidth="1"/>
    <col min="9989" max="9989" width="21.26953125" style="290" bestFit="1" customWidth="1"/>
    <col min="9990" max="9991" width="11.7265625" style="290" bestFit="1" customWidth="1"/>
    <col min="9992" max="9993" width="9.26953125" style="290" bestFit="1" customWidth="1"/>
    <col min="9994" max="9994" width="12.7265625" style="290" bestFit="1" customWidth="1"/>
    <col min="9995" max="9995" width="5" style="290" bestFit="1" customWidth="1"/>
    <col min="9996" max="9996" width="5.7265625" style="290" bestFit="1" customWidth="1"/>
    <col min="9997" max="9997" width="8.7265625" style="290" bestFit="1" customWidth="1"/>
    <col min="9998" max="9998" width="6.453125" style="290" bestFit="1" customWidth="1"/>
    <col min="9999" max="9999" width="10.453125" style="290" bestFit="1" customWidth="1"/>
    <col min="10000" max="10000" width="15.7265625" style="290" bestFit="1" customWidth="1"/>
    <col min="10001" max="10001" width="12.7265625" style="290" bestFit="1" customWidth="1"/>
    <col min="10002" max="10002" width="17.26953125" style="290" bestFit="1" customWidth="1"/>
    <col min="10003" max="10003" width="14.7265625" style="290" bestFit="1" customWidth="1"/>
    <col min="10004" max="10004" width="10.26953125" style="290" bestFit="1" customWidth="1"/>
    <col min="10005" max="10005" width="12.453125" style="290" customWidth="1"/>
    <col min="10006" max="10240" width="9.26953125" style="290"/>
    <col min="10241" max="10241" width="8" style="290" bestFit="1" customWidth="1"/>
    <col min="10242" max="10242" width="16.54296875" style="290" bestFit="1" customWidth="1"/>
    <col min="10243" max="10243" width="10.26953125" style="290" bestFit="1" customWidth="1"/>
    <col min="10244" max="10244" width="10.453125" style="290" bestFit="1" customWidth="1"/>
    <col min="10245" max="10245" width="21.26953125" style="290" bestFit="1" customWidth="1"/>
    <col min="10246" max="10247" width="11.7265625" style="290" bestFit="1" customWidth="1"/>
    <col min="10248" max="10249" width="9.26953125" style="290" bestFit="1" customWidth="1"/>
    <col min="10250" max="10250" width="12.7265625" style="290" bestFit="1" customWidth="1"/>
    <col min="10251" max="10251" width="5" style="290" bestFit="1" customWidth="1"/>
    <col min="10252" max="10252" width="5.7265625" style="290" bestFit="1" customWidth="1"/>
    <col min="10253" max="10253" width="8.7265625" style="290" bestFit="1" customWidth="1"/>
    <col min="10254" max="10254" width="6.453125" style="290" bestFit="1" customWidth="1"/>
    <col min="10255" max="10255" width="10.453125" style="290" bestFit="1" customWidth="1"/>
    <col min="10256" max="10256" width="15.7265625" style="290" bestFit="1" customWidth="1"/>
    <col min="10257" max="10257" width="12.7265625" style="290" bestFit="1" customWidth="1"/>
    <col min="10258" max="10258" width="17.26953125" style="290" bestFit="1" customWidth="1"/>
    <col min="10259" max="10259" width="14.7265625" style="290" bestFit="1" customWidth="1"/>
    <col min="10260" max="10260" width="10.26953125" style="290" bestFit="1" customWidth="1"/>
    <col min="10261" max="10261" width="12.453125" style="290" customWidth="1"/>
    <col min="10262" max="10496" width="9.26953125" style="290"/>
    <col min="10497" max="10497" width="8" style="290" bestFit="1" customWidth="1"/>
    <col min="10498" max="10498" width="16.54296875" style="290" bestFit="1" customWidth="1"/>
    <col min="10499" max="10499" width="10.26953125" style="290" bestFit="1" customWidth="1"/>
    <col min="10500" max="10500" width="10.453125" style="290" bestFit="1" customWidth="1"/>
    <col min="10501" max="10501" width="21.26953125" style="290" bestFit="1" customWidth="1"/>
    <col min="10502" max="10503" width="11.7265625" style="290" bestFit="1" customWidth="1"/>
    <col min="10504" max="10505" width="9.26953125" style="290" bestFit="1" customWidth="1"/>
    <col min="10506" max="10506" width="12.7265625" style="290" bestFit="1" customWidth="1"/>
    <col min="10507" max="10507" width="5" style="290" bestFit="1" customWidth="1"/>
    <col min="10508" max="10508" width="5.7265625" style="290" bestFit="1" customWidth="1"/>
    <col min="10509" max="10509" width="8.7265625" style="290" bestFit="1" customWidth="1"/>
    <col min="10510" max="10510" width="6.453125" style="290" bestFit="1" customWidth="1"/>
    <col min="10511" max="10511" width="10.453125" style="290" bestFit="1" customWidth="1"/>
    <col min="10512" max="10512" width="15.7265625" style="290" bestFit="1" customWidth="1"/>
    <col min="10513" max="10513" width="12.7265625" style="290" bestFit="1" customWidth="1"/>
    <col min="10514" max="10514" width="17.26953125" style="290" bestFit="1" customWidth="1"/>
    <col min="10515" max="10515" width="14.7265625" style="290" bestFit="1" customWidth="1"/>
    <col min="10516" max="10516" width="10.26953125" style="290" bestFit="1" customWidth="1"/>
    <col min="10517" max="10517" width="12.453125" style="290" customWidth="1"/>
    <col min="10518" max="10752" width="9.26953125" style="290"/>
    <col min="10753" max="10753" width="8" style="290" bestFit="1" customWidth="1"/>
    <col min="10754" max="10754" width="16.54296875" style="290" bestFit="1" customWidth="1"/>
    <col min="10755" max="10755" width="10.26953125" style="290" bestFit="1" customWidth="1"/>
    <col min="10756" max="10756" width="10.453125" style="290" bestFit="1" customWidth="1"/>
    <col min="10757" max="10757" width="21.26953125" style="290" bestFit="1" customWidth="1"/>
    <col min="10758" max="10759" width="11.7265625" style="290" bestFit="1" customWidth="1"/>
    <col min="10760" max="10761" width="9.26953125" style="290" bestFit="1" customWidth="1"/>
    <col min="10762" max="10762" width="12.7265625" style="290" bestFit="1" customWidth="1"/>
    <col min="10763" max="10763" width="5" style="290" bestFit="1" customWidth="1"/>
    <col min="10764" max="10764" width="5.7265625" style="290" bestFit="1" customWidth="1"/>
    <col min="10765" max="10765" width="8.7265625" style="290" bestFit="1" customWidth="1"/>
    <col min="10766" max="10766" width="6.453125" style="290" bestFit="1" customWidth="1"/>
    <col min="10767" max="10767" width="10.453125" style="290" bestFit="1" customWidth="1"/>
    <col min="10768" max="10768" width="15.7265625" style="290" bestFit="1" customWidth="1"/>
    <col min="10769" max="10769" width="12.7265625" style="290" bestFit="1" customWidth="1"/>
    <col min="10770" max="10770" width="17.26953125" style="290" bestFit="1" customWidth="1"/>
    <col min="10771" max="10771" width="14.7265625" style="290" bestFit="1" customWidth="1"/>
    <col min="10772" max="10772" width="10.26953125" style="290" bestFit="1" customWidth="1"/>
    <col min="10773" max="10773" width="12.453125" style="290" customWidth="1"/>
    <col min="10774" max="11008" width="9.26953125" style="290"/>
    <col min="11009" max="11009" width="8" style="290" bestFit="1" customWidth="1"/>
    <col min="11010" max="11010" width="16.54296875" style="290" bestFit="1" customWidth="1"/>
    <col min="11011" max="11011" width="10.26953125" style="290" bestFit="1" customWidth="1"/>
    <col min="11012" max="11012" width="10.453125" style="290" bestFit="1" customWidth="1"/>
    <col min="11013" max="11013" width="21.26953125" style="290" bestFit="1" customWidth="1"/>
    <col min="11014" max="11015" width="11.7265625" style="290" bestFit="1" customWidth="1"/>
    <col min="11016" max="11017" width="9.26953125" style="290" bestFit="1" customWidth="1"/>
    <col min="11018" max="11018" width="12.7265625" style="290" bestFit="1" customWidth="1"/>
    <col min="11019" max="11019" width="5" style="290" bestFit="1" customWidth="1"/>
    <col min="11020" max="11020" width="5.7265625" style="290" bestFit="1" customWidth="1"/>
    <col min="11021" max="11021" width="8.7265625" style="290" bestFit="1" customWidth="1"/>
    <col min="11022" max="11022" width="6.453125" style="290" bestFit="1" customWidth="1"/>
    <col min="11023" max="11023" width="10.453125" style="290" bestFit="1" customWidth="1"/>
    <col min="11024" max="11024" width="15.7265625" style="290" bestFit="1" customWidth="1"/>
    <col min="11025" max="11025" width="12.7265625" style="290" bestFit="1" customWidth="1"/>
    <col min="11026" max="11026" width="17.26953125" style="290" bestFit="1" customWidth="1"/>
    <col min="11027" max="11027" width="14.7265625" style="290" bestFit="1" customWidth="1"/>
    <col min="11028" max="11028" width="10.26953125" style="290" bestFit="1" customWidth="1"/>
    <col min="11029" max="11029" width="12.453125" style="290" customWidth="1"/>
    <col min="11030" max="11264" width="9.26953125" style="290"/>
    <col min="11265" max="11265" width="8" style="290" bestFit="1" customWidth="1"/>
    <col min="11266" max="11266" width="16.54296875" style="290" bestFit="1" customWidth="1"/>
    <col min="11267" max="11267" width="10.26953125" style="290" bestFit="1" customWidth="1"/>
    <col min="11268" max="11268" width="10.453125" style="290" bestFit="1" customWidth="1"/>
    <col min="11269" max="11269" width="21.26953125" style="290" bestFit="1" customWidth="1"/>
    <col min="11270" max="11271" width="11.7265625" style="290" bestFit="1" customWidth="1"/>
    <col min="11272" max="11273" width="9.26953125" style="290" bestFit="1" customWidth="1"/>
    <col min="11274" max="11274" width="12.7265625" style="290" bestFit="1" customWidth="1"/>
    <col min="11275" max="11275" width="5" style="290" bestFit="1" customWidth="1"/>
    <col min="11276" max="11276" width="5.7265625" style="290" bestFit="1" customWidth="1"/>
    <col min="11277" max="11277" width="8.7265625" style="290" bestFit="1" customWidth="1"/>
    <col min="11278" max="11278" width="6.453125" style="290" bestFit="1" customWidth="1"/>
    <col min="11279" max="11279" width="10.453125" style="290" bestFit="1" customWidth="1"/>
    <col min="11280" max="11280" width="15.7265625" style="290" bestFit="1" customWidth="1"/>
    <col min="11281" max="11281" width="12.7265625" style="290" bestFit="1" customWidth="1"/>
    <col min="11282" max="11282" width="17.26953125" style="290" bestFit="1" customWidth="1"/>
    <col min="11283" max="11283" width="14.7265625" style="290" bestFit="1" customWidth="1"/>
    <col min="11284" max="11284" width="10.26953125" style="290" bestFit="1" customWidth="1"/>
    <col min="11285" max="11285" width="12.453125" style="290" customWidth="1"/>
    <col min="11286" max="11520" width="9.26953125" style="290"/>
    <col min="11521" max="11521" width="8" style="290" bestFit="1" customWidth="1"/>
    <col min="11522" max="11522" width="16.54296875" style="290" bestFit="1" customWidth="1"/>
    <col min="11523" max="11523" width="10.26953125" style="290" bestFit="1" customWidth="1"/>
    <col min="11524" max="11524" width="10.453125" style="290" bestFit="1" customWidth="1"/>
    <col min="11525" max="11525" width="21.26953125" style="290" bestFit="1" customWidth="1"/>
    <col min="11526" max="11527" width="11.7265625" style="290" bestFit="1" customWidth="1"/>
    <col min="11528" max="11529" width="9.26953125" style="290" bestFit="1" customWidth="1"/>
    <col min="11530" max="11530" width="12.7265625" style="290" bestFit="1" customWidth="1"/>
    <col min="11531" max="11531" width="5" style="290" bestFit="1" customWidth="1"/>
    <col min="11532" max="11532" width="5.7265625" style="290" bestFit="1" customWidth="1"/>
    <col min="11533" max="11533" width="8.7265625" style="290" bestFit="1" customWidth="1"/>
    <col min="11534" max="11534" width="6.453125" style="290" bestFit="1" customWidth="1"/>
    <col min="11535" max="11535" width="10.453125" style="290" bestFit="1" customWidth="1"/>
    <col min="11536" max="11536" width="15.7265625" style="290" bestFit="1" customWidth="1"/>
    <col min="11537" max="11537" width="12.7265625" style="290" bestFit="1" customWidth="1"/>
    <col min="11538" max="11538" width="17.26953125" style="290" bestFit="1" customWidth="1"/>
    <col min="11539" max="11539" width="14.7265625" style="290" bestFit="1" customWidth="1"/>
    <col min="11540" max="11540" width="10.26953125" style="290" bestFit="1" customWidth="1"/>
    <col min="11541" max="11541" width="12.453125" style="290" customWidth="1"/>
    <col min="11542" max="11776" width="9.26953125" style="290"/>
    <col min="11777" max="11777" width="8" style="290" bestFit="1" customWidth="1"/>
    <col min="11778" max="11778" width="16.54296875" style="290" bestFit="1" customWidth="1"/>
    <col min="11779" max="11779" width="10.26953125" style="290" bestFit="1" customWidth="1"/>
    <col min="11780" max="11780" width="10.453125" style="290" bestFit="1" customWidth="1"/>
    <col min="11781" max="11781" width="21.26953125" style="290" bestFit="1" customWidth="1"/>
    <col min="11782" max="11783" width="11.7265625" style="290" bestFit="1" customWidth="1"/>
    <col min="11784" max="11785" width="9.26953125" style="290" bestFit="1" customWidth="1"/>
    <col min="11786" max="11786" width="12.7265625" style="290" bestFit="1" customWidth="1"/>
    <col min="11787" max="11787" width="5" style="290" bestFit="1" customWidth="1"/>
    <col min="11788" max="11788" width="5.7265625" style="290" bestFit="1" customWidth="1"/>
    <col min="11789" max="11789" width="8.7265625" style="290" bestFit="1" customWidth="1"/>
    <col min="11790" max="11790" width="6.453125" style="290" bestFit="1" customWidth="1"/>
    <col min="11791" max="11791" width="10.453125" style="290" bestFit="1" customWidth="1"/>
    <col min="11792" max="11792" width="15.7265625" style="290" bestFit="1" customWidth="1"/>
    <col min="11793" max="11793" width="12.7265625" style="290" bestFit="1" customWidth="1"/>
    <col min="11794" max="11794" width="17.26953125" style="290" bestFit="1" customWidth="1"/>
    <col min="11795" max="11795" width="14.7265625" style="290" bestFit="1" customWidth="1"/>
    <col min="11796" max="11796" width="10.26953125" style="290" bestFit="1" customWidth="1"/>
    <col min="11797" max="11797" width="12.453125" style="290" customWidth="1"/>
    <col min="11798" max="12032" width="9.26953125" style="290"/>
    <col min="12033" max="12033" width="8" style="290" bestFit="1" customWidth="1"/>
    <col min="12034" max="12034" width="16.54296875" style="290" bestFit="1" customWidth="1"/>
    <col min="12035" max="12035" width="10.26953125" style="290" bestFit="1" customWidth="1"/>
    <col min="12036" max="12036" width="10.453125" style="290" bestFit="1" customWidth="1"/>
    <col min="12037" max="12037" width="21.26953125" style="290" bestFit="1" customWidth="1"/>
    <col min="12038" max="12039" width="11.7265625" style="290" bestFit="1" customWidth="1"/>
    <col min="12040" max="12041" width="9.26953125" style="290" bestFit="1" customWidth="1"/>
    <col min="12042" max="12042" width="12.7265625" style="290" bestFit="1" customWidth="1"/>
    <col min="12043" max="12043" width="5" style="290" bestFit="1" customWidth="1"/>
    <col min="12044" max="12044" width="5.7265625" style="290" bestFit="1" customWidth="1"/>
    <col min="12045" max="12045" width="8.7265625" style="290" bestFit="1" customWidth="1"/>
    <col min="12046" max="12046" width="6.453125" style="290" bestFit="1" customWidth="1"/>
    <col min="12047" max="12047" width="10.453125" style="290" bestFit="1" customWidth="1"/>
    <col min="12048" max="12048" width="15.7265625" style="290" bestFit="1" customWidth="1"/>
    <col min="12049" max="12049" width="12.7265625" style="290" bestFit="1" customWidth="1"/>
    <col min="12050" max="12050" width="17.26953125" style="290" bestFit="1" customWidth="1"/>
    <col min="12051" max="12051" width="14.7265625" style="290" bestFit="1" customWidth="1"/>
    <col min="12052" max="12052" width="10.26953125" style="290" bestFit="1" customWidth="1"/>
    <col min="12053" max="12053" width="12.453125" style="290" customWidth="1"/>
    <col min="12054" max="12288" width="9.26953125" style="290"/>
    <col min="12289" max="12289" width="8" style="290" bestFit="1" customWidth="1"/>
    <col min="12290" max="12290" width="16.54296875" style="290" bestFit="1" customWidth="1"/>
    <col min="12291" max="12291" width="10.26953125" style="290" bestFit="1" customWidth="1"/>
    <col min="12292" max="12292" width="10.453125" style="290" bestFit="1" customWidth="1"/>
    <col min="12293" max="12293" width="21.26953125" style="290" bestFit="1" customWidth="1"/>
    <col min="12294" max="12295" width="11.7265625" style="290" bestFit="1" customWidth="1"/>
    <col min="12296" max="12297" width="9.26953125" style="290" bestFit="1" customWidth="1"/>
    <col min="12298" max="12298" width="12.7265625" style="290" bestFit="1" customWidth="1"/>
    <col min="12299" max="12299" width="5" style="290" bestFit="1" customWidth="1"/>
    <col min="12300" max="12300" width="5.7265625" style="290" bestFit="1" customWidth="1"/>
    <col min="12301" max="12301" width="8.7265625" style="290" bestFit="1" customWidth="1"/>
    <col min="12302" max="12302" width="6.453125" style="290" bestFit="1" customWidth="1"/>
    <col min="12303" max="12303" width="10.453125" style="290" bestFit="1" customWidth="1"/>
    <col min="12304" max="12304" width="15.7265625" style="290" bestFit="1" customWidth="1"/>
    <col min="12305" max="12305" width="12.7265625" style="290" bestFit="1" customWidth="1"/>
    <col min="12306" max="12306" width="17.26953125" style="290" bestFit="1" customWidth="1"/>
    <col min="12307" max="12307" width="14.7265625" style="290" bestFit="1" customWidth="1"/>
    <col min="12308" max="12308" width="10.26953125" style="290" bestFit="1" customWidth="1"/>
    <col min="12309" max="12309" width="12.453125" style="290" customWidth="1"/>
    <col min="12310" max="12544" width="9.26953125" style="290"/>
    <col min="12545" max="12545" width="8" style="290" bestFit="1" customWidth="1"/>
    <col min="12546" max="12546" width="16.54296875" style="290" bestFit="1" customWidth="1"/>
    <col min="12547" max="12547" width="10.26953125" style="290" bestFit="1" customWidth="1"/>
    <col min="12548" max="12548" width="10.453125" style="290" bestFit="1" customWidth="1"/>
    <col min="12549" max="12549" width="21.26953125" style="290" bestFit="1" customWidth="1"/>
    <col min="12550" max="12551" width="11.7265625" style="290" bestFit="1" customWidth="1"/>
    <col min="12552" max="12553" width="9.26953125" style="290" bestFit="1" customWidth="1"/>
    <col min="12554" max="12554" width="12.7265625" style="290" bestFit="1" customWidth="1"/>
    <col min="12555" max="12555" width="5" style="290" bestFit="1" customWidth="1"/>
    <col min="12556" max="12556" width="5.7265625" style="290" bestFit="1" customWidth="1"/>
    <col min="12557" max="12557" width="8.7265625" style="290" bestFit="1" customWidth="1"/>
    <col min="12558" max="12558" width="6.453125" style="290" bestFit="1" customWidth="1"/>
    <col min="12559" max="12559" width="10.453125" style="290" bestFit="1" customWidth="1"/>
    <col min="12560" max="12560" width="15.7265625" style="290" bestFit="1" customWidth="1"/>
    <col min="12561" max="12561" width="12.7265625" style="290" bestFit="1" customWidth="1"/>
    <col min="12562" max="12562" width="17.26953125" style="290" bestFit="1" customWidth="1"/>
    <col min="12563" max="12563" width="14.7265625" style="290" bestFit="1" customWidth="1"/>
    <col min="12564" max="12564" width="10.26953125" style="290" bestFit="1" customWidth="1"/>
    <col min="12565" max="12565" width="12.453125" style="290" customWidth="1"/>
    <col min="12566" max="12800" width="9.26953125" style="290"/>
    <col min="12801" max="12801" width="8" style="290" bestFit="1" customWidth="1"/>
    <col min="12802" max="12802" width="16.54296875" style="290" bestFit="1" customWidth="1"/>
    <col min="12803" max="12803" width="10.26953125" style="290" bestFit="1" customWidth="1"/>
    <col min="12804" max="12804" width="10.453125" style="290" bestFit="1" customWidth="1"/>
    <col min="12805" max="12805" width="21.26953125" style="290" bestFit="1" customWidth="1"/>
    <col min="12806" max="12807" width="11.7265625" style="290" bestFit="1" customWidth="1"/>
    <col min="12808" max="12809" width="9.26953125" style="290" bestFit="1" customWidth="1"/>
    <col min="12810" max="12810" width="12.7265625" style="290" bestFit="1" customWidth="1"/>
    <col min="12811" max="12811" width="5" style="290" bestFit="1" customWidth="1"/>
    <col min="12812" max="12812" width="5.7265625" style="290" bestFit="1" customWidth="1"/>
    <col min="12813" max="12813" width="8.7265625" style="290" bestFit="1" customWidth="1"/>
    <col min="12814" max="12814" width="6.453125" style="290" bestFit="1" customWidth="1"/>
    <col min="12815" max="12815" width="10.453125" style="290" bestFit="1" customWidth="1"/>
    <col min="12816" max="12816" width="15.7265625" style="290" bestFit="1" customWidth="1"/>
    <col min="12817" max="12817" width="12.7265625" style="290" bestFit="1" customWidth="1"/>
    <col min="12818" max="12818" width="17.26953125" style="290" bestFit="1" customWidth="1"/>
    <col min="12819" max="12819" width="14.7265625" style="290" bestFit="1" customWidth="1"/>
    <col min="12820" max="12820" width="10.26953125" style="290" bestFit="1" customWidth="1"/>
    <col min="12821" max="12821" width="12.453125" style="290" customWidth="1"/>
    <col min="12822" max="13056" width="9.26953125" style="290"/>
    <col min="13057" max="13057" width="8" style="290" bestFit="1" customWidth="1"/>
    <col min="13058" max="13058" width="16.54296875" style="290" bestFit="1" customWidth="1"/>
    <col min="13059" max="13059" width="10.26953125" style="290" bestFit="1" customWidth="1"/>
    <col min="13060" max="13060" width="10.453125" style="290" bestFit="1" customWidth="1"/>
    <col min="13061" max="13061" width="21.26953125" style="290" bestFit="1" customWidth="1"/>
    <col min="13062" max="13063" width="11.7265625" style="290" bestFit="1" customWidth="1"/>
    <col min="13064" max="13065" width="9.26953125" style="290" bestFit="1" customWidth="1"/>
    <col min="13066" max="13066" width="12.7265625" style="290" bestFit="1" customWidth="1"/>
    <col min="13067" max="13067" width="5" style="290" bestFit="1" customWidth="1"/>
    <col min="13068" max="13068" width="5.7265625" style="290" bestFit="1" customWidth="1"/>
    <col min="13069" max="13069" width="8.7265625" style="290" bestFit="1" customWidth="1"/>
    <col min="13070" max="13070" width="6.453125" style="290" bestFit="1" customWidth="1"/>
    <col min="13071" max="13071" width="10.453125" style="290" bestFit="1" customWidth="1"/>
    <col min="13072" max="13072" width="15.7265625" style="290" bestFit="1" customWidth="1"/>
    <col min="13073" max="13073" width="12.7265625" style="290" bestFit="1" customWidth="1"/>
    <col min="13074" max="13074" width="17.26953125" style="290" bestFit="1" customWidth="1"/>
    <col min="13075" max="13075" width="14.7265625" style="290" bestFit="1" customWidth="1"/>
    <col min="13076" max="13076" width="10.26953125" style="290" bestFit="1" customWidth="1"/>
    <col min="13077" max="13077" width="12.453125" style="290" customWidth="1"/>
    <col min="13078" max="13312" width="9.26953125" style="290"/>
    <col min="13313" max="13313" width="8" style="290" bestFit="1" customWidth="1"/>
    <col min="13314" max="13314" width="16.54296875" style="290" bestFit="1" customWidth="1"/>
    <col min="13315" max="13315" width="10.26953125" style="290" bestFit="1" customWidth="1"/>
    <col min="13316" max="13316" width="10.453125" style="290" bestFit="1" customWidth="1"/>
    <col min="13317" max="13317" width="21.26953125" style="290" bestFit="1" customWidth="1"/>
    <col min="13318" max="13319" width="11.7265625" style="290" bestFit="1" customWidth="1"/>
    <col min="13320" max="13321" width="9.26953125" style="290" bestFit="1" customWidth="1"/>
    <col min="13322" max="13322" width="12.7265625" style="290" bestFit="1" customWidth="1"/>
    <col min="13323" max="13323" width="5" style="290" bestFit="1" customWidth="1"/>
    <col min="13324" max="13324" width="5.7265625" style="290" bestFit="1" customWidth="1"/>
    <col min="13325" max="13325" width="8.7265625" style="290" bestFit="1" customWidth="1"/>
    <col min="13326" max="13326" width="6.453125" style="290" bestFit="1" customWidth="1"/>
    <col min="13327" max="13327" width="10.453125" style="290" bestFit="1" customWidth="1"/>
    <col min="13328" max="13328" width="15.7265625" style="290" bestFit="1" customWidth="1"/>
    <col min="13329" max="13329" width="12.7265625" style="290" bestFit="1" customWidth="1"/>
    <col min="13330" max="13330" width="17.26953125" style="290" bestFit="1" customWidth="1"/>
    <col min="13331" max="13331" width="14.7265625" style="290" bestFit="1" customWidth="1"/>
    <col min="13332" max="13332" width="10.26953125" style="290" bestFit="1" customWidth="1"/>
    <col min="13333" max="13333" width="12.453125" style="290" customWidth="1"/>
    <col min="13334" max="13568" width="9.26953125" style="290"/>
    <col min="13569" max="13569" width="8" style="290" bestFit="1" customWidth="1"/>
    <col min="13570" max="13570" width="16.54296875" style="290" bestFit="1" customWidth="1"/>
    <col min="13571" max="13571" width="10.26953125" style="290" bestFit="1" customWidth="1"/>
    <col min="13572" max="13572" width="10.453125" style="290" bestFit="1" customWidth="1"/>
    <col min="13573" max="13573" width="21.26953125" style="290" bestFit="1" customWidth="1"/>
    <col min="13574" max="13575" width="11.7265625" style="290" bestFit="1" customWidth="1"/>
    <col min="13576" max="13577" width="9.26953125" style="290" bestFit="1" customWidth="1"/>
    <col min="13578" max="13578" width="12.7265625" style="290" bestFit="1" customWidth="1"/>
    <col min="13579" max="13579" width="5" style="290" bestFit="1" customWidth="1"/>
    <col min="13580" max="13580" width="5.7265625" style="290" bestFit="1" customWidth="1"/>
    <col min="13581" max="13581" width="8.7265625" style="290" bestFit="1" customWidth="1"/>
    <col min="13582" max="13582" width="6.453125" style="290" bestFit="1" customWidth="1"/>
    <col min="13583" max="13583" width="10.453125" style="290" bestFit="1" customWidth="1"/>
    <col min="13584" max="13584" width="15.7265625" style="290" bestFit="1" customWidth="1"/>
    <col min="13585" max="13585" width="12.7265625" style="290" bestFit="1" customWidth="1"/>
    <col min="13586" max="13586" width="17.26953125" style="290" bestFit="1" customWidth="1"/>
    <col min="13587" max="13587" width="14.7265625" style="290" bestFit="1" customWidth="1"/>
    <col min="13588" max="13588" width="10.26953125" style="290" bestFit="1" customWidth="1"/>
    <col min="13589" max="13589" width="12.453125" style="290" customWidth="1"/>
    <col min="13590" max="13824" width="9.26953125" style="290"/>
    <col min="13825" max="13825" width="8" style="290" bestFit="1" customWidth="1"/>
    <col min="13826" max="13826" width="16.54296875" style="290" bestFit="1" customWidth="1"/>
    <col min="13827" max="13827" width="10.26953125" style="290" bestFit="1" customWidth="1"/>
    <col min="13828" max="13828" width="10.453125" style="290" bestFit="1" customWidth="1"/>
    <col min="13829" max="13829" width="21.26953125" style="290" bestFit="1" customWidth="1"/>
    <col min="13830" max="13831" width="11.7265625" style="290" bestFit="1" customWidth="1"/>
    <col min="13832" max="13833" width="9.26953125" style="290" bestFit="1" customWidth="1"/>
    <col min="13834" max="13834" width="12.7265625" style="290" bestFit="1" customWidth="1"/>
    <col min="13835" max="13835" width="5" style="290" bestFit="1" customWidth="1"/>
    <col min="13836" max="13836" width="5.7265625" style="290" bestFit="1" customWidth="1"/>
    <col min="13837" max="13837" width="8.7265625" style="290" bestFit="1" customWidth="1"/>
    <col min="13838" max="13838" width="6.453125" style="290" bestFit="1" customWidth="1"/>
    <col min="13839" max="13839" width="10.453125" style="290" bestFit="1" customWidth="1"/>
    <col min="13840" max="13840" width="15.7265625" style="290" bestFit="1" customWidth="1"/>
    <col min="13841" max="13841" width="12.7265625" style="290" bestFit="1" customWidth="1"/>
    <col min="13842" max="13842" width="17.26953125" style="290" bestFit="1" customWidth="1"/>
    <col min="13843" max="13843" width="14.7265625" style="290" bestFit="1" customWidth="1"/>
    <col min="13844" max="13844" width="10.26953125" style="290" bestFit="1" customWidth="1"/>
    <col min="13845" max="13845" width="12.453125" style="290" customWidth="1"/>
    <col min="13846" max="14080" width="9.26953125" style="290"/>
    <col min="14081" max="14081" width="8" style="290" bestFit="1" customWidth="1"/>
    <col min="14082" max="14082" width="16.54296875" style="290" bestFit="1" customWidth="1"/>
    <col min="14083" max="14083" width="10.26953125" style="290" bestFit="1" customWidth="1"/>
    <col min="14084" max="14084" width="10.453125" style="290" bestFit="1" customWidth="1"/>
    <col min="14085" max="14085" width="21.26953125" style="290" bestFit="1" customWidth="1"/>
    <col min="14086" max="14087" width="11.7265625" style="290" bestFit="1" customWidth="1"/>
    <col min="14088" max="14089" width="9.26953125" style="290" bestFit="1" customWidth="1"/>
    <col min="14090" max="14090" width="12.7265625" style="290" bestFit="1" customWidth="1"/>
    <col min="14091" max="14091" width="5" style="290" bestFit="1" customWidth="1"/>
    <col min="14092" max="14092" width="5.7265625" style="290" bestFit="1" customWidth="1"/>
    <col min="14093" max="14093" width="8.7265625" style="290" bestFit="1" customWidth="1"/>
    <col min="14094" max="14094" width="6.453125" style="290" bestFit="1" customWidth="1"/>
    <col min="14095" max="14095" width="10.453125" style="290" bestFit="1" customWidth="1"/>
    <col min="14096" max="14096" width="15.7265625" style="290" bestFit="1" customWidth="1"/>
    <col min="14097" max="14097" width="12.7265625" style="290" bestFit="1" customWidth="1"/>
    <col min="14098" max="14098" width="17.26953125" style="290" bestFit="1" customWidth="1"/>
    <col min="14099" max="14099" width="14.7265625" style="290" bestFit="1" customWidth="1"/>
    <col min="14100" max="14100" width="10.26953125" style="290" bestFit="1" customWidth="1"/>
    <col min="14101" max="14101" width="12.453125" style="290" customWidth="1"/>
    <col min="14102" max="14336" width="9.26953125" style="290"/>
    <col min="14337" max="14337" width="8" style="290" bestFit="1" customWidth="1"/>
    <col min="14338" max="14338" width="16.54296875" style="290" bestFit="1" customWidth="1"/>
    <col min="14339" max="14339" width="10.26953125" style="290" bestFit="1" customWidth="1"/>
    <col min="14340" max="14340" width="10.453125" style="290" bestFit="1" customWidth="1"/>
    <col min="14341" max="14341" width="21.26953125" style="290" bestFit="1" customWidth="1"/>
    <col min="14342" max="14343" width="11.7265625" style="290" bestFit="1" customWidth="1"/>
    <col min="14344" max="14345" width="9.26953125" style="290" bestFit="1" customWidth="1"/>
    <col min="14346" max="14346" width="12.7265625" style="290" bestFit="1" customWidth="1"/>
    <col min="14347" max="14347" width="5" style="290" bestFit="1" customWidth="1"/>
    <col min="14348" max="14348" width="5.7265625" style="290" bestFit="1" customWidth="1"/>
    <col min="14349" max="14349" width="8.7265625" style="290" bestFit="1" customWidth="1"/>
    <col min="14350" max="14350" width="6.453125" style="290" bestFit="1" customWidth="1"/>
    <col min="14351" max="14351" width="10.453125" style="290" bestFit="1" customWidth="1"/>
    <col min="14352" max="14352" width="15.7265625" style="290" bestFit="1" customWidth="1"/>
    <col min="14353" max="14353" width="12.7265625" style="290" bestFit="1" customWidth="1"/>
    <col min="14354" max="14354" width="17.26953125" style="290" bestFit="1" customWidth="1"/>
    <col min="14355" max="14355" width="14.7265625" style="290" bestFit="1" customWidth="1"/>
    <col min="14356" max="14356" width="10.26953125" style="290" bestFit="1" customWidth="1"/>
    <col min="14357" max="14357" width="12.453125" style="290" customWidth="1"/>
    <col min="14358" max="14592" width="9.26953125" style="290"/>
    <col min="14593" max="14593" width="8" style="290" bestFit="1" customWidth="1"/>
    <col min="14594" max="14594" width="16.54296875" style="290" bestFit="1" customWidth="1"/>
    <col min="14595" max="14595" width="10.26953125" style="290" bestFit="1" customWidth="1"/>
    <col min="14596" max="14596" width="10.453125" style="290" bestFit="1" customWidth="1"/>
    <col min="14597" max="14597" width="21.26953125" style="290" bestFit="1" customWidth="1"/>
    <col min="14598" max="14599" width="11.7265625" style="290" bestFit="1" customWidth="1"/>
    <col min="14600" max="14601" width="9.26953125" style="290" bestFit="1" customWidth="1"/>
    <col min="14602" max="14602" width="12.7265625" style="290" bestFit="1" customWidth="1"/>
    <col min="14603" max="14603" width="5" style="290" bestFit="1" customWidth="1"/>
    <col min="14604" max="14604" width="5.7265625" style="290" bestFit="1" customWidth="1"/>
    <col min="14605" max="14605" width="8.7265625" style="290" bestFit="1" customWidth="1"/>
    <col min="14606" max="14606" width="6.453125" style="290" bestFit="1" customWidth="1"/>
    <col min="14607" max="14607" width="10.453125" style="290" bestFit="1" customWidth="1"/>
    <col min="14608" max="14608" width="15.7265625" style="290" bestFit="1" customWidth="1"/>
    <col min="14609" max="14609" width="12.7265625" style="290" bestFit="1" customWidth="1"/>
    <col min="14610" max="14610" width="17.26953125" style="290" bestFit="1" customWidth="1"/>
    <col min="14611" max="14611" width="14.7265625" style="290" bestFit="1" customWidth="1"/>
    <col min="14612" max="14612" width="10.26953125" style="290" bestFit="1" customWidth="1"/>
    <col min="14613" max="14613" width="12.453125" style="290" customWidth="1"/>
    <col min="14614" max="14848" width="9.26953125" style="290"/>
    <col min="14849" max="14849" width="8" style="290" bestFit="1" customWidth="1"/>
    <col min="14850" max="14850" width="16.54296875" style="290" bestFit="1" customWidth="1"/>
    <col min="14851" max="14851" width="10.26953125" style="290" bestFit="1" customWidth="1"/>
    <col min="14852" max="14852" width="10.453125" style="290" bestFit="1" customWidth="1"/>
    <col min="14853" max="14853" width="21.26953125" style="290" bestFit="1" customWidth="1"/>
    <col min="14854" max="14855" width="11.7265625" style="290" bestFit="1" customWidth="1"/>
    <col min="14856" max="14857" width="9.26953125" style="290" bestFit="1" customWidth="1"/>
    <col min="14858" max="14858" width="12.7265625" style="290" bestFit="1" customWidth="1"/>
    <col min="14859" max="14859" width="5" style="290" bestFit="1" customWidth="1"/>
    <col min="14860" max="14860" width="5.7265625" style="290" bestFit="1" customWidth="1"/>
    <col min="14861" max="14861" width="8.7265625" style="290" bestFit="1" customWidth="1"/>
    <col min="14862" max="14862" width="6.453125" style="290" bestFit="1" customWidth="1"/>
    <col min="14863" max="14863" width="10.453125" style="290" bestFit="1" customWidth="1"/>
    <col min="14864" max="14864" width="15.7265625" style="290" bestFit="1" customWidth="1"/>
    <col min="14865" max="14865" width="12.7265625" style="290" bestFit="1" customWidth="1"/>
    <col min="14866" max="14866" width="17.26953125" style="290" bestFit="1" customWidth="1"/>
    <col min="14867" max="14867" width="14.7265625" style="290" bestFit="1" customWidth="1"/>
    <col min="14868" max="14868" width="10.26953125" style="290" bestFit="1" customWidth="1"/>
    <col min="14869" max="14869" width="12.453125" style="290" customWidth="1"/>
    <col min="14870" max="15104" width="9.26953125" style="290"/>
    <col min="15105" max="15105" width="8" style="290" bestFit="1" customWidth="1"/>
    <col min="15106" max="15106" width="16.54296875" style="290" bestFit="1" customWidth="1"/>
    <col min="15107" max="15107" width="10.26953125" style="290" bestFit="1" customWidth="1"/>
    <col min="15108" max="15108" width="10.453125" style="290" bestFit="1" customWidth="1"/>
    <col min="15109" max="15109" width="21.26953125" style="290" bestFit="1" customWidth="1"/>
    <col min="15110" max="15111" width="11.7265625" style="290" bestFit="1" customWidth="1"/>
    <col min="15112" max="15113" width="9.26953125" style="290" bestFit="1" customWidth="1"/>
    <col min="15114" max="15114" width="12.7265625" style="290" bestFit="1" customWidth="1"/>
    <col min="15115" max="15115" width="5" style="290" bestFit="1" customWidth="1"/>
    <col min="15116" max="15116" width="5.7265625" style="290" bestFit="1" customWidth="1"/>
    <col min="15117" max="15117" width="8.7265625" style="290" bestFit="1" customWidth="1"/>
    <col min="15118" max="15118" width="6.453125" style="290" bestFit="1" customWidth="1"/>
    <col min="15119" max="15119" width="10.453125" style="290" bestFit="1" customWidth="1"/>
    <col min="15120" max="15120" width="15.7265625" style="290" bestFit="1" customWidth="1"/>
    <col min="15121" max="15121" width="12.7265625" style="290" bestFit="1" customWidth="1"/>
    <col min="15122" max="15122" width="17.26953125" style="290" bestFit="1" customWidth="1"/>
    <col min="15123" max="15123" width="14.7265625" style="290" bestFit="1" customWidth="1"/>
    <col min="15124" max="15124" width="10.26953125" style="290" bestFit="1" customWidth="1"/>
    <col min="15125" max="15125" width="12.453125" style="290" customWidth="1"/>
    <col min="15126" max="15360" width="9.26953125" style="290"/>
    <col min="15361" max="15361" width="8" style="290" bestFit="1" customWidth="1"/>
    <col min="15362" max="15362" width="16.54296875" style="290" bestFit="1" customWidth="1"/>
    <col min="15363" max="15363" width="10.26953125" style="290" bestFit="1" customWidth="1"/>
    <col min="15364" max="15364" width="10.453125" style="290" bestFit="1" customWidth="1"/>
    <col min="15365" max="15365" width="21.26953125" style="290" bestFit="1" customWidth="1"/>
    <col min="15366" max="15367" width="11.7265625" style="290" bestFit="1" customWidth="1"/>
    <col min="15368" max="15369" width="9.26953125" style="290" bestFit="1" customWidth="1"/>
    <col min="15370" max="15370" width="12.7265625" style="290" bestFit="1" customWidth="1"/>
    <col min="15371" max="15371" width="5" style="290" bestFit="1" customWidth="1"/>
    <col min="15372" max="15372" width="5.7265625" style="290" bestFit="1" customWidth="1"/>
    <col min="15373" max="15373" width="8.7265625" style="290" bestFit="1" customWidth="1"/>
    <col min="15374" max="15374" width="6.453125" style="290" bestFit="1" customWidth="1"/>
    <col min="15375" max="15375" width="10.453125" style="290" bestFit="1" customWidth="1"/>
    <col min="15376" max="15376" width="15.7265625" style="290" bestFit="1" customWidth="1"/>
    <col min="15377" max="15377" width="12.7265625" style="290" bestFit="1" customWidth="1"/>
    <col min="15378" max="15378" width="17.26953125" style="290" bestFit="1" customWidth="1"/>
    <col min="15379" max="15379" width="14.7265625" style="290" bestFit="1" customWidth="1"/>
    <col min="15380" max="15380" width="10.26953125" style="290" bestFit="1" customWidth="1"/>
    <col min="15381" max="15381" width="12.453125" style="290" customWidth="1"/>
    <col min="15382" max="15616" width="9.26953125" style="290"/>
    <col min="15617" max="15617" width="8" style="290" bestFit="1" customWidth="1"/>
    <col min="15618" max="15618" width="16.54296875" style="290" bestFit="1" customWidth="1"/>
    <col min="15619" max="15619" width="10.26953125" style="290" bestFit="1" customWidth="1"/>
    <col min="15620" max="15620" width="10.453125" style="290" bestFit="1" customWidth="1"/>
    <col min="15621" max="15621" width="21.26953125" style="290" bestFit="1" customWidth="1"/>
    <col min="15622" max="15623" width="11.7265625" style="290" bestFit="1" customWidth="1"/>
    <col min="15624" max="15625" width="9.26953125" style="290" bestFit="1" customWidth="1"/>
    <col min="15626" max="15626" width="12.7265625" style="290" bestFit="1" customWidth="1"/>
    <col min="15627" max="15627" width="5" style="290" bestFit="1" customWidth="1"/>
    <col min="15628" max="15628" width="5.7265625" style="290" bestFit="1" customWidth="1"/>
    <col min="15629" max="15629" width="8.7265625" style="290" bestFit="1" customWidth="1"/>
    <col min="15630" max="15630" width="6.453125" style="290" bestFit="1" customWidth="1"/>
    <col min="15631" max="15631" width="10.453125" style="290" bestFit="1" customWidth="1"/>
    <col min="15632" max="15632" width="15.7265625" style="290" bestFit="1" customWidth="1"/>
    <col min="15633" max="15633" width="12.7265625" style="290" bestFit="1" customWidth="1"/>
    <col min="15634" max="15634" width="17.26953125" style="290" bestFit="1" customWidth="1"/>
    <col min="15635" max="15635" width="14.7265625" style="290" bestFit="1" customWidth="1"/>
    <col min="15636" max="15636" width="10.26953125" style="290" bestFit="1" customWidth="1"/>
    <col min="15637" max="15637" width="12.453125" style="290" customWidth="1"/>
    <col min="15638" max="15872" width="9.26953125" style="290"/>
    <col min="15873" max="15873" width="8" style="290" bestFit="1" customWidth="1"/>
    <col min="15874" max="15874" width="16.54296875" style="290" bestFit="1" customWidth="1"/>
    <col min="15875" max="15875" width="10.26953125" style="290" bestFit="1" customWidth="1"/>
    <col min="15876" max="15876" width="10.453125" style="290" bestFit="1" customWidth="1"/>
    <col min="15877" max="15877" width="21.26953125" style="290" bestFit="1" customWidth="1"/>
    <col min="15878" max="15879" width="11.7265625" style="290" bestFit="1" customWidth="1"/>
    <col min="15880" max="15881" width="9.26953125" style="290" bestFit="1" customWidth="1"/>
    <col min="15882" max="15882" width="12.7265625" style="290" bestFit="1" customWidth="1"/>
    <col min="15883" max="15883" width="5" style="290" bestFit="1" customWidth="1"/>
    <col min="15884" max="15884" width="5.7265625" style="290" bestFit="1" customWidth="1"/>
    <col min="15885" max="15885" width="8.7265625" style="290" bestFit="1" customWidth="1"/>
    <col min="15886" max="15886" width="6.453125" style="290" bestFit="1" customWidth="1"/>
    <col min="15887" max="15887" width="10.453125" style="290" bestFit="1" customWidth="1"/>
    <col min="15888" max="15888" width="15.7265625" style="290" bestFit="1" customWidth="1"/>
    <col min="15889" max="15889" width="12.7265625" style="290" bestFit="1" customWidth="1"/>
    <col min="15890" max="15890" width="17.26953125" style="290" bestFit="1" customWidth="1"/>
    <col min="15891" max="15891" width="14.7265625" style="290" bestFit="1" customWidth="1"/>
    <col min="15892" max="15892" width="10.26953125" style="290" bestFit="1" customWidth="1"/>
    <col min="15893" max="15893" width="12.453125" style="290" customWidth="1"/>
    <col min="15894" max="16128" width="9.26953125" style="290"/>
    <col min="16129" max="16129" width="8" style="290" bestFit="1" customWidth="1"/>
    <col min="16130" max="16130" width="16.54296875" style="290" bestFit="1" customWidth="1"/>
    <col min="16131" max="16131" width="10.26953125" style="290" bestFit="1" customWidth="1"/>
    <col min="16132" max="16132" width="10.453125" style="290" bestFit="1" customWidth="1"/>
    <col min="16133" max="16133" width="21.26953125" style="290" bestFit="1" customWidth="1"/>
    <col min="16134" max="16135" width="11.7265625" style="290" bestFit="1" customWidth="1"/>
    <col min="16136" max="16137" width="9.26953125" style="290" bestFit="1" customWidth="1"/>
    <col min="16138" max="16138" width="12.7265625" style="290" bestFit="1" customWidth="1"/>
    <col min="16139" max="16139" width="5" style="290" bestFit="1" customWidth="1"/>
    <col min="16140" max="16140" width="5.7265625" style="290" bestFit="1" customWidth="1"/>
    <col min="16141" max="16141" width="8.7265625" style="290" bestFit="1" customWidth="1"/>
    <col min="16142" max="16142" width="6.453125" style="290" bestFit="1" customWidth="1"/>
    <col min="16143" max="16143" width="10.453125" style="290" bestFit="1" customWidth="1"/>
    <col min="16144" max="16144" width="15.7265625" style="290" bestFit="1" customWidth="1"/>
    <col min="16145" max="16145" width="12.7265625" style="290" bestFit="1" customWidth="1"/>
    <col min="16146" max="16146" width="17.26953125" style="290" bestFit="1" customWidth="1"/>
    <col min="16147" max="16147" width="14.7265625" style="290" bestFit="1" customWidth="1"/>
    <col min="16148" max="16148" width="10.26953125" style="290" bestFit="1" customWidth="1"/>
    <col min="16149" max="16149" width="12.453125" style="290" customWidth="1"/>
    <col min="16150" max="16384" width="9.26953125" style="290"/>
  </cols>
  <sheetData>
    <row r="1" spans="1:21" x14ac:dyDescent="0.25">
      <c r="A1" s="287" t="s">
        <v>156</v>
      </c>
      <c r="B1" s="288" t="s">
        <v>157</v>
      </c>
      <c r="C1" s="289" t="s">
        <v>158</v>
      </c>
      <c r="D1" s="289" t="s">
        <v>159</v>
      </c>
      <c r="E1" s="288" t="s">
        <v>160</v>
      </c>
      <c r="F1" s="288" t="s">
        <v>161</v>
      </c>
      <c r="G1" s="288" t="s">
        <v>162</v>
      </c>
      <c r="H1" s="288" t="s">
        <v>163</v>
      </c>
      <c r="I1" s="288" t="s">
        <v>164</v>
      </c>
      <c r="J1" s="288" t="s">
        <v>165</v>
      </c>
      <c r="K1" s="288" t="s">
        <v>166</v>
      </c>
      <c r="L1" s="287" t="s">
        <v>167</v>
      </c>
      <c r="M1" s="287" t="s">
        <v>168</v>
      </c>
      <c r="N1" s="287" t="s">
        <v>169</v>
      </c>
      <c r="O1" s="288" t="s">
        <v>170</v>
      </c>
      <c r="P1" s="287" t="s">
        <v>171</v>
      </c>
      <c r="Q1" s="287" t="s">
        <v>172</v>
      </c>
      <c r="R1" s="287" t="s">
        <v>173</v>
      </c>
      <c r="S1" s="287" t="s">
        <v>174</v>
      </c>
      <c r="T1" s="287" t="s">
        <v>175</v>
      </c>
      <c r="U1" s="287" t="s">
        <v>176</v>
      </c>
    </row>
    <row r="2" spans="1:21" hidden="1" x14ac:dyDescent="0.25">
      <c r="A2" s="291">
        <v>1686088</v>
      </c>
      <c r="B2" s="290" t="s">
        <v>177</v>
      </c>
      <c r="C2" s="292">
        <v>44938.403263888889</v>
      </c>
      <c r="D2" s="292">
        <v>44938</v>
      </c>
      <c r="E2" s="290" t="s">
        <v>178</v>
      </c>
      <c r="F2" s="290" t="s">
        <v>179</v>
      </c>
      <c r="G2" s="290" t="s">
        <v>180</v>
      </c>
      <c r="H2" s="290" t="s">
        <v>181</v>
      </c>
      <c r="I2" s="290" t="s">
        <v>182</v>
      </c>
      <c r="J2" s="290" t="s">
        <v>183</v>
      </c>
      <c r="K2" s="290" t="s">
        <v>183</v>
      </c>
      <c r="L2" s="293">
        <v>0</v>
      </c>
      <c r="M2" s="293">
        <v>0</v>
      </c>
      <c r="N2" s="293">
        <v>28.164999999999999</v>
      </c>
      <c r="O2" s="290" t="s">
        <v>184</v>
      </c>
      <c r="P2" s="293">
        <v>0</v>
      </c>
      <c r="Q2" s="294">
        <v>0</v>
      </c>
      <c r="R2" s="294">
        <v>0</v>
      </c>
      <c r="S2" s="294">
        <v>0</v>
      </c>
      <c r="T2" s="294">
        <v>0</v>
      </c>
      <c r="U2" s="294">
        <v>0</v>
      </c>
    </row>
    <row r="3" spans="1:21" x14ac:dyDescent="0.25">
      <c r="A3" s="291">
        <v>1682311</v>
      </c>
      <c r="B3" s="290" t="s">
        <v>185</v>
      </c>
      <c r="C3" s="292">
        <v>44928</v>
      </c>
      <c r="D3" s="292">
        <v>44931</v>
      </c>
      <c r="E3" s="290" t="s">
        <v>186</v>
      </c>
      <c r="F3" s="290" t="s">
        <v>187</v>
      </c>
      <c r="G3" s="290" t="s">
        <v>188</v>
      </c>
      <c r="H3" s="290" t="s">
        <v>181</v>
      </c>
      <c r="I3" s="290" t="s">
        <v>182</v>
      </c>
      <c r="J3" s="290" t="s">
        <v>183</v>
      </c>
      <c r="K3" s="290" t="s">
        <v>183</v>
      </c>
      <c r="L3" s="293">
        <v>0</v>
      </c>
      <c r="M3" s="293">
        <v>29.632000000000001</v>
      </c>
      <c r="N3" s="293">
        <v>38.462000000000003</v>
      </c>
      <c r="O3" s="290" t="s">
        <v>184</v>
      </c>
      <c r="P3" s="293">
        <v>6</v>
      </c>
      <c r="Q3" s="294">
        <v>501.95</v>
      </c>
      <c r="R3" s="294">
        <v>17.350000000000001</v>
      </c>
      <c r="S3" s="294">
        <v>0</v>
      </c>
      <c r="T3" s="294">
        <v>0</v>
      </c>
      <c r="U3" s="294">
        <v>519.29999999999995</v>
      </c>
    </row>
    <row r="4" spans="1:21" x14ac:dyDescent="0.25">
      <c r="A4" s="291">
        <v>1678752</v>
      </c>
      <c r="B4" s="290" t="s">
        <v>189</v>
      </c>
      <c r="C4" s="292">
        <v>44914</v>
      </c>
      <c r="D4" s="292">
        <v>44916</v>
      </c>
      <c r="E4" s="290" t="s">
        <v>190</v>
      </c>
      <c r="F4" s="290" t="s">
        <v>191</v>
      </c>
      <c r="G4" s="290" t="s">
        <v>188</v>
      </c>
      <c r="H4" s="290" t="s">
        <v>181</v>
      </c>
      <c r="I4" s="290" t="s">
        <v>182</v>
      </c>
      <c r="J4" s="290" t="s">
        <v>183</v>
      </c>
      <c r="K4" s="290" t="s">
        <v>183</v>
      </c>
      <c r="L4" s="293">
        <v>0</v>
      </c>
      <c r="M4" s="293">
        <v>29.632000000000001</v>
      </c>
      <c r="N4" s="293">
        <v>38.462000000000003</v>
      </c>
      <c r="O4" s="290" t="s">
        <v>184</v>
      </c>
      <c r="P4" s="293">
        <v>0</v>
      </c>
      <c r="Q4" s="294">
        <v>5889.22</v>
      </c>
      <c r="R4" s="294">
        <v>496.1</v>
      </c>
      <c r="S4" s="294">
        <v>0</v>
      </c>
      <c r="T4" s="294">
        <v>0</v>
      </c>
      <c r="U4" s="294">
        <v>6385.32</v>
      </c>
    </row>
    <row r="5" spans="1:21" x14ac:dyDescent="0.25">
      <c r="A5" s="291">
        <v>1658915</v>
      </c>
      <c r="B5" s="290" t="s">
        <v>185</v>
      </c>
      <c r="C5" s="292">
        <v>44851</v>
      </c>
      <c r="D5" s="292">
        <v>44854</v>
      </c>
      <c r="E5" s="290" t="s">
        <v>186</v>
      </c>
      <c r="F5" s="290" t="s">
        <v>192</v>
      </c>
      <c r="G5" s="290" t="s">
        <v>188</v>
      </c>
      <c r="H5" s="290" t="s">
        <v>181</v>
      </c>
      <c r="I5" s="290" t="s">
        <v>182</v>
      </c>
      <c r="J5" s="290" t="s">
        <v>183</v>
      </c>
      <c r="K5" s="290" t="s">
        <v>183</v>
      </c>
      <c r="L5" s="293">
        <v>0</v>
      </c>
      <c r="M5" s="293">
        <v>29.632000000000001</v>
      </c>
      <c r="N5" s="293">
        <v>38.462000000000003</v>
      </c>
      <c r="O5" s="290" t="s">
        <v>184</v>
      </c>
      <c r="P5" s="293">
        <v>20</v>
      </c>
      <c r="Q5" s="294">
        <v>401.56</v>
      </c>
      <c r="R5" s="294">
        <v>13.88</v>
      </c>
      <c r="S5" s="294">
        <v>0</v>
      </c>
      <c r="T5" s="294">
        <v>0</v>
      </c>
      <c r="U5" s="294">
        <v>415.44</v>
      </c>
    </row>
    <row r="6" spans="1:21" hidden="1" x14ac:dyDescent="0.25">
      <c r="A6" s="291">
        <v>1656965</v>
      </c>
      <c r="B6" s="290" t="s">
        <v>185</v>
      </c>
      <c r="C6" s="292">
        <v>44844</v>
      </c>
      <c r="D6" s="292">
        <v>44847</v>
      </c>
      <c r="E6" s="290" t="s">
        <v>186</v>
      </c>
      <c r="F6" s="290" t="s">
        <v>187</v>
      </c>
      <c r="G6" s="290" t="s">
        <v>193</v>
      </c>
      <c r="H6" s="290" t="s">
        <v>181</v>
      </c>
      <c r="I6" s="290" t="s">
        <v>194</v>
      </c>
      <c r="J6" s="290" t="s">
        <v>183</v>
      </c>
      <c r="K6" s="290" t="s">
        <v>183</v>
      </c>
      <c r="L6" s="293">
        <v>0</v>
      </c>
      <c r="M6" s="293">
        <v>0</v>
      </c>
      <c r="N6" s="293">
        <v>3.4279999999999999</v>
      </c>
      <c r="O6" s="290" t="s">
        <v>184</v>
      </c>
      <c r="P6" s="293">
        <v>7</v>
      </c>
      <c r="Q6" s="294">
        <v>321.44</v>
      </c>
      <c r="R6" s="294">
        <v>24.29</v>
      </c>
      <c r="S6" s="294">
        <v>0</v>
      </c>
      <c r="T6" s="294">
        <v>0</v>
      </c>
      <c r="U6" s="294">
        <v>345.73</v>
      </c>
    </row>
    <row r="7" spans="1:21" hidden="1" x14ac:dyDescent="0.25">
      <c r="A7" s="291">
        <v>1654865</v>
      </c>
      <c r="B7" s="290" t="s">
        <v>177</v>
      </c>
      <c r="C7" s="292">
        <v>44841</v>
      </c>
      <c r="D7" s="292">
        <v>44841</v>
      </c>
      <c r="E7" s="290" t="s">
        <v>195</v>
      </c>
      <c r="F7" s="290" t="s">
        <v>196</v>
      </c>
      <c r="G7" s="290" t="s">
        <v>180</v>
      </c>
      <c r="H7" s="290" t="s">
        <v>197</v>
      </c>
      <c r="I7" s="290" t="s">
        <v>182</v>
      </c>
      <c r="J7" s="290" t="s">
        <v>183</v>
      </c>
      <c r="K7" s="290" t="s">
        <v>183</v>
      </c>
      <c r="L7" s="293">
        <v>0</v>
      </c>
      <c r="M7" s="293">
        <v>0</v>
      </c>
      <c r="N7" s="293">
        <v>28.164999999999999</v>
      </c>
      <c r="O7" s="290" t="s">
        <v>184</v>
      </c>
      <c r="P7" s="293">
        <v>100</v>
      </c>
      <c r="Q7" s="294">
        <v>942.36</v>
      </c>
      <c r="R7" s="294">
        <v>532.36</v>
      </c>
      <c r="S7" s="294">
        <v>0</v>
      </c>
      <c r="T7" s="294">
        <v>0</v>
      </c>
      <c r="U7" s="294">
        <v>1474.72</v>
      </c>
    </row>
    <row r="8" spans="1:21" x14ac:dyDescent="0.25">
      <c r="A8" s="291">
        <v>1652112</v>
      </c>
      <c r="B8" s="290" t="s">
        <v>185</v>
      </c>
      <c r="C8" s="292">
        <v>44830</v>
      </c>
      <c r="D8" s="292">
        <v>44833</v>
      </c>
      <c r="E8" s="290" t="s">
        <v>186</v>
      </c>
      <c r="F8" s="290" t="s">
        <v>187</v>
      </c>
      <c r="G8" s="290" t="s">
        <v>188</v>
      </c>
      <c r="H8" s="290" t="s">
        <v>181</v>
      </c>
      <c r="I8" s="290" t="s">
        <v>182</v>
      </c>
      <c r="J8" s="290" t="s">
        <v>183</v>
      </c>
      <c r="K8" s="290" t="s">
        <v>183</v>
      </c>
      <c r="L8" s="293">
        <v>0</v>
      </c>
      <c r="M8" s="293">
        <v>29.632000000000001</v>
      </c>
      <c r="N8" s="293">
        <v>38.462000000000003</v>
      </c>
      <c r="O8" s="290" t="s">
        <v>184</v>
      </c>
      <c r="P8" s="293">
        <v>8</v>
      </c>
      <c r="Q8" s="294">
        <v>214.3</v>
      </c>
      <c r="R8" s="294">
        <v>17.350000000000001</v>
      </c>
      <c r="S8" s="294">
        <v>0</v>
      </c>
      <c r="T8" s="294">
        <v>0</v>
      </c>
      <c r="U8" s="294">
        <v>231.65</v>
      </c>
    </row>
    <row r="9" spans="1:21" x14ac:dyDescent="0.25">
      <c r="A9" s="291">
        <v>1652110</v>
      </c>
      <c r="B9" s="290" t="s">
        <v>185</v>
      </c>
      <c r="C9" s="292">
        <v>44830</v>
      </c>
      <c r="D9" s="292">
        <v>44833</v>
      </c>
      <c r="E9" s="290" t="s">
        <v>186</v>
      </c>
      <c r="F9" s="290" t="s">
        <v>192</v>
      </c>
      <c r="G9" s="290" t="s">
        <v>188</v>
      </c>
      <c r="H9" s="290" t="s">
        <v>181</v>
      </c>
      <c r="I9" s="290" t="s">
        <v>182</v>
      </c>
      <c r="J9" s="290" t="s">
        <v>183</v>
      </c>
      <c r="K9" s="290" t="s">
        <v>183</v>
      </c>
      <c r="L9" s="293">
        <v>0</v>
      </c>
      <c r="M9" s="293">
        <v>29.632000000000001</v>
      </c>
      <c r="N9" s="293">
        <v>38.462000000000003</v>
      </c>
      <c r="O9" s="290" t="s">
        <v>184</v>
      </c>
      <c r="P9" s="293">
        <v>16.5</v>
      </c>
      <c r="Q9" s="294">
        <v>171.44</v>
      </c>
      <c r="R9" s="294">
        <v>13.88</v>
      </c>
      <c r="S9" s="294">
        <v>0</v>
      </c>
      <c r="T9" s="294">
        <v>0</v>
      </c>
      <c r="U9" s="294">
        <v>185.32</v>
      </c>
    </row>
    <row r="10" spans="1:21" x14ac:dyDescent="0.25">
      <c r="A10" s="291">
        <v>1651806</v>
      </c>
      <c r="B10" s="290" t="s">
        <v>177</v>
      </c>
      <c r="C10" s="292">
        <v>44832</v>
      </c>
      <c r="D10" s="292">
        <v>44833</v>
      </c>
      <c r="E10" s="290" t="s">
        <v>190</v>
      </c>
      <c r="F10" s="290" t="s">
        <v>198</v>
      </c>
      <c r="G10" s="290" t="s">
        <v>188</v>
      </c>
      <c r="H10" s="290" t="s">
        <v>181</v>
      </c>
      <c r="I10" s="290" t="s">
        <v>182</v>
      </c>
      <c r="J10" s="290" t="s">
        <v>183</v>
      </c>
      <c r="K10" s="290" t="s">
        <v>183</v>
      </c>
      <c r="L10" s="293">
        <v>0</v>
      </c>
      <c r="M10" s="293">
        <v>29.632000000000001</v>
      </c>
      <c r="N10" s="293">
        <v>38.462000000000003</v>
      </c>
      <c r="O10" s="290" t="s">
        <v>184</v>
      </c>
      <c r="P10" s="293">
        <v>1.4</v>
      </c>
      <c r="Q10" s="294">
        <v>889.76</v>
      </c>
      <c r="R10" s="294">
        <v>317.79000000000002</v>
      </c>
      <c r="S10" s="294">
        <v>0</v>
      </c>
      <c r="T10" s="294">
        <v>0</v>
      </c>
      <c r="U10" s="294">
        <v>1207.55</v>
      </c>
    </row>
    <row r="11" spans="1:21" x14ac:dyDescent="0.25">
      <c r="A11" s="291">
        <v>1649191</v>
      </c>
      <c r="B11" s="290" t="s">
        <v>185</v>
      </c>
      <c r="C11" s="292">
        <v>44823</v>
      </c>
      <c r="D11" s="292">
        <v>44826</v>
      </c>
      <c r="E11" s="290" t="s">
        <v>186</v>
      </c>
      <c r="F11" s="290" t="s">
        <v>187</v>
      </c>
      <c r="G11" s="290" t="s">
        <v>188</v>
      </c>
      <c r="H11" s="290" t="s">
        <v>181</v>
      </c>
      <c r="I11" s="290" t="s">
        <v>182</v>
      </c>
      <c r="J11" s="290" t="s">
        <v>183</v>
      </c>
      <c r="K11" s="290" t="s">
        <v>183</v>
      </c>
      <c r="L11" s="293">
        <v>0</v>
      </c>
      <c r="M11" s="293">
        <v>29.632000000000001</v>
      </c>
      <c r="N11" s="293">
        <v>38.462000000000003</v>
      </c>
      <c r="O11" s="290" t="s">
        <v>184</v>
      </c>
      <c r="P11" s="293">
        <v>13</v>
      </c>
      <c r="Q11" s="294">
        <v>385.74</v>
      </c>
      <c r="R11" s="294">
        <v>31.23</v>
      </c>
      <c r="S11" s="294">
        <v>0</v>
      </c>
      <c r="T11" s="294">
        <v>0</v>
      </c>
      <c r="U11" s="294">
        <v>416.97</v>
      </c>
    </row>
    <row r="12" spans="1:21" x14ac:dyDescent="0.25">
      <c r="A12" s="291">
        <v>1648838</v>
      </c>
      <c r="B12" s="290" t="s">
        <v>185</v>
      </c>
      <c r="C12" s="292">
        <v>44823</v>
      </c>
      <c r="D12" s="292">
        <v>44825</v>
      </c>
      <c r="E12" s="290" t="s">
        <v>186</v>
      </c>
      <c r="F12" s="290" t="s">
        <v>187</v>
      </c>
      <c r="G12" s="290" t="s">
        <v>188</v>
      </c>
      <c r="H12" s="290" t="s">
        <v>181</v>
      </c>
      <c r="I12" s="290" t="s">
        <v>182</v>
      </c>
      <c r="J12" s="290" t="s">
        <v>183</v>
      </c>
      <c r="K12" s="290" t="s">
        <v>183</v>
      </c>
      <c r="L12" s="293">
        <v>0</v>
      </c>
      <c r="M12" s="293">
        <v>29.632000000000001</v>
      </c>
      <c r="N12" s="293">
        <v>38.462000000000003</v>
      </c>
      <c r="O12" s="290" t="s">
        <v>184</v>
      </c>
      <c r="P12" s="293">
        <v>6</v>
      </c>
      <c r="Q12" s="294">
        <v>192.87</v>
      </c>
      <c r="R12" s="294">
        <v>15.62</v>
      </c>
      <c r="S12" s="294">
        <v>0</v>
      </c>
      <c r="T12" s="294">
        <v>0</v>
      </c>
      <c r="U12" s="294">
        <v>208.49</v>
      </c>
    </row>
    <row r="13" spans="1:21" x14ac:dyDescent="0.25">
      <c r="A13" s="291">
        <v>1646577</v>
      </c>
      <c r="B13" s="290" t="s">
        <v>185</v>
      </c>
      <c r="C13" s="292">
        <v>44816</v>
      </c>
      <c r="D13" s="292">
        <v>44819</v>
      </c>
      <c r="E13" s="290" t="s">
        <v>186</v>
      </c>
      <c r="F13" s="290" t="s">
        <v>187</v>
      </c>
      <c r="G13" s="290" t="s">
        <v>188</v>
      </c>
      <c r="H13" s="290" t="s">
        <v>181</v>
      </c>
      <c r="I13" s="290" t="s">
        <v>182</v>
      </c>
      <c r="J13" s="290" t="s">
        <v>183</v>
      </c>
      <c r="K13" s="290" t="s">
        <v>183</v>
      </c>
      <c r="L13" s="293">
        <v>0</v>
      </c>
      <c r="M13" s="293">
        <v>29.632000000000001</v>
      </c>
      <c r="N13" s="293">
        <v>38.462000000000003</v>
      </c>
      <c r="O13" s="290" t="s">
        <v>184</v>
      </c>
      <c r="P13" s="293">
        <v>2</v>
      </c>
      <c r="Q13" s="294">
        <v>246.99</v>
      </c>
      <c r="R13" s="294">
        <v>10.41</v>
      </c>
      <c r="S13" s="294">
        <v>0</v>
      </c>
      <c r="T13" s="294">
        <v>0</v>
      </c>
      <c r="U13" s="294">
        <v>257.39999999999998</v>
      </c>
    </row>
    <row r="14" spans="1:21" hidden="1" x14ac:dyDescent="0.25">
      <c r="A14" s="291">
        <v>1646576</v>
      </c>
      <c r="B14" s="290" t="s">
        <v>185</v>
      </c>
      <c r="C14" s="292">
        <v>44816</v>
      </c>
      <c r="D14" s="292">
        <v>44819</v>
      </c>
      <c r="E14" s="290" t="s">
        <v>186</v>
      </c>
      <c r="F14" s="290" t="s">
        <v>192</v>
      </c>
      <c r="G14" s="290" t="s">
        <v>180</v>
      </c>
      <c r="H14" s="290" t="s">
        <v>181</v>
      </c>
      <c r="I14" s="290" t="s">
        <v>182</v>
      </c>
      <c r="J14" s="290" t="s">
        <v>183</v>
      </c>
      <c r="K14" s="290" t="s">
        <v>183</v>
      </c>
      <c r="L14" s="293">
        <v>0</v>
      </c>
      <c r="M14" s="293">
        <v>0</v>
      </c>
      <c r="N14" s="293">
        <v>28.164999999999999</v>
      </c>
      <c r="O14" s="290" t="s">
        <v>184</v>
      </c>
      <c r="P14" s="293">
        <v>6.42</v>
      </c>
      <c r="Q14" s="294">
        <v>164.66</v>
      </c>
      <c r="R14" s="294">
        <v>6.94</v>
      </c>
      <c r="S14" s="294">
        <v>0</v>
      </c>
      <c r="T14" s="294">
        <v>0</v>
      </c>
      <c r="U14" s="294">
        <v>171.6</v>
      </c>
    </row>
    <row r="15" spans="1:21" x14ac:dyDescent="0.25">
      <c r="A15" s="291">
        <v>1640785</v>
      </c>
      <c r="B15" s="290" t="s">
        <v>185</v>
      </c>
      <c r="C15" s="292">
        <v>44802</v>
      </c>
      <c r="D15" s="292">
        <v>44804</v>
      </c>
      <c r="E15" s="290" t="s">
        <v>186</v>
      </c>
      <c r="F15" s="290" t="s">
        <v>187</v>
      </c>
      <c r="G15" s="290" t="s">
        <v>188</v>
      </c>
      <c r="H15" s="290" t="s">
        <v>181</v>
      </c>
      <c r="I15" s="290" t="s">
        <v>182</v>
      </c>
      <c r="J15" s="290" t="s">
        <v>183</v>
      </c>
      <c r="K15" s="290" t="s">
        <v>183</v>
      </c>
      <c r="L15" s="293">
        <v>0</v>
      </c>
      <c r="M15" s="293">
        <v>29.632000000000001</v>
      </c>
      <c r="N15" s="293">
        <v>38.462000000000003</v>
      </c>
      <c r="O15" s="290" t="s">
        <v>184</v>
      </c>
      <c r="P15" s="293">
        <v>7</v>
      </c>
      <c r="Q15" s="294">
        <v>370.49</v>
      </c>
      <c r="R15" s="294">
        <v>15.62</v>
      </c>
      <c r="S15" s="294">
        <v>0</v>
      </c>
      <c r="T15" s="294">
        <v>0</v>
      </c>
      <c r="U15" s="294">
        <v>386.1</v>
      </c>
    </row>
    <row r="16" spans="1:21" x14ac:dyDescent="0.25">
      <c r="A16" s="291">
        <v>1634841</v>
      </c>
      <c r="B16" s="290" t="s">
        <v>177</v>
      </c>
      <c r="C16" s="292">
        <v>44785</v>
      </c>
      <c r="D16" s="292">
        <v>44788</v>
      </c>
      <c r="E16" s="290" t="s">
        <v>190</v>
      </c>
      <c r="F16" s="290" t="s">
        <v>199</v>
      </c>
      <c r="G16" s="290" t="s">
        <v>188</v>
      </c>
      <c r="H16" s="290" t="s">
        <v>181</v>
      </c>
      <c r="I16" s="290" t="s">
        <v>182</v>
      </c>
      <c r="J16" s="290" t="s">
        <v>183</v>
      </c>
      <c r="K16" s="290" t="s">
        <v>183</v>
      </c>
      <c r="L16" s="293">
        <v>0</v>
      </c>
      <c r="M16" s="293">
        <v>29.632000000000001</v>
      </c>
      <c r="N16" s="293">
        <v>38.462000000000003</v>
      </c>
      <c r="O16" s="290" t="s">
        <v>184</v>
      </c>
      <c r="P16" s="293">
        <v>3</v>
      </c>
      <c r="Q16" s="294">
        <v>955.22</v>
      </c>
      <c r="R16" s="294">
        <v>118.18</v>
      </c>
      <c r="S16" s="294">
        <v>0</v>
      </c>
      <c r="T16" s="294">
        <v>0</v>
      </c>
      <c r="U16" s="294">
        <v>1073.4000000000001</v>
      </c>
    </row>
    <row r="17" spans="1:21" hidden="1" x14ac:dyDescent="0.25">
      <c r="A17" s="291">
        <v>1629062</v>
      </c>
      <c r="B17" s="290" t="s">
        <v>177</v>
      </c>
      <c r="C17" s="292">
        <v>44769</v>
      </c>
      <c r="D17" s="292">
        <v>44769</v>
      </c>
      <c r="E17" s="290" t="s">
        <v>190</v>
      </c>
      <c r="F17" s="290" t="s">
        <v>199</v>
      </c>
      <c r="G17" s="290" t="s">
        <v>193</v>
      </c>
      <c r="H17" s="290" t="s">
        <v>181</v>
      </c>
      <c r="I17" s="290" t="s">
        <v>194</v>
      </c>
      <c r="J17" s="290" t="s">
        <v>183</v>
      </c>
      <c r="K17" s="290" t="s">
        <v>183</v>
      </c>
      <c r="L17" s="293">
        <v>0</v>
      </c>
      <c r="M17" s="293">
        <v>0</v>
      </c>
      <c r="N17" s="293">
        <v>3.4279999999999999</v>
      </c>
      <c r="O17" s="290" t="s">
        <v>184</v>
      </c>
      <c r="P17" s="293">
        <v>9</v>
      </c>
      <c r="Q17" s="294">
        <v>1248.8</v>
      </c>
      <c r="R17" s="294">
        <v>348.4</v>
      </c>
      <c r="S17" s="294">
        <v>0</v>
      </c>
      <c r="T17" s="294">
        <v>0</v>
      </c>
      <c r="U17" s="294">
        <v>1597.2</v>
      </c>
    </row>
    <row r="18" spans="1:21" x14ac:dyDescent="0.25">
      <c r="A18" s="291">
        <v>1628111</v>
      </c>
      <c r="B18" s="290" t="s">
        <v>177</v>
      </c>
      <c r="C18" s="292">
        <v>44768</v>
      </c>
      <c r="D18" s="292">
        <v>44768</v>
      </c>
      <c r="E18" s="290" t="s">
        <v>190</v>
      </c>
      <c r="F18" s="290" t="s">
        <v>199</v>
      </c>
      <c r="G18" s="290" t="s">
        <v>188</v>
      </c>
      <c r="H18" s="290" t="s">
        <v>181</v>
      </c>
      <c r="I18" s="290" t="s">
        <v>182</v>
      </c>
      <c r="J18" s="290" t="s">
        <v>183</v>
      </c>
      <c r="K18" s="290" t="s">
        <v>183</v>
      </c>
      <c r="L18" s="293">
        <v>0</v>
      </c>
      <c r="M18" s="293">
        <v>29.632000000000001</v>
      </c>
      <c r="N18" s="293">
        <v>38.462000000000003</v>
      </c>
      <c r="O18" s="290" t="s">
        <v>184</v>
      </c>
      <c r="P18" s="293">
        <v>18</v>
      </c>
      <c r="Q18" s="294">
        <v>1248.8</v>
      </c>
      <c r="R18" s="294">
        <v>348.4</v>
      </c>
      <c r="S18" s="294">
        <v>0</v>
      </c>
      <c r="T18" s="294">
        <v>0</v>
      </c>
      <c r="U18" s="294">
        <v>1597.2</v>
      </c>
    </row>
    <row r="19" spans="1:21" x14ac:dyDescent="0.25">
      <c r="A19" s="291">
        <v>1627930</v>
      </c>
      <c r="B19" s="290" t="s">
        <v>177</v>
      </c>
      <c r="C19" s="292">
        <v>44755</v>
      </c>
      <c r="D19" s="292">
        <v>44803</v>
      </c>
      <c r="E19" s="290" t="s">
        <v>200</v>
      </c>
      <c r="F19" s="290" t="s">
        <v>201</v>
      </c>
      <c r="G19" s="290" t="s">
        <v>188</v>
      </c>
      <c r="H19" s="290" t="s">
        <v>181</v>
      </c>
      <c r="I19" s="290" t="s">
        <v>182</v>
      </c>
      <c r="J19" s="290" t="s">
        <v>183</v>
      </c>
      <c r="K19" s="290" t="s">
        <v>183</v>
      </c>
      <c r="L19" s="293">
        <v>0</v>
      </c>
      <c r="M19" s="293">
        <v>36.380000000000003</v>
      </c>
      <c r="N19" s="293">
        <v>36.39</v>
      </c>
      <c r="O19" s="290" t="s">
        <v>184</v>
      </c>
      <c r="P19" s="293">
        <v>75</v>
      </c>
      <c r="Q19" s="294">
        <v>0</v>
      </c>
      <c r="R19" s="294">
        <v>0</v>
      </c>
      <c r="S19" s="294">
        <v>0</v>
      </c>
      <c r="T19" s="294">
        <v>1723.7</v>
      </c>
      <c r="U19" s="294">
        <v>1723.7</v>
      </c>
    </row>
    <row r="20" spans="1:21" x14ac:dyDescent="0.25">
      <c r="A20" s="291">
        <v>1623792</v>
      </c>
      <c r="B20" s="290" t="s">
        <v>177</v>
      </c>
      <c r="C20" s="292">
        <v>44743</v>
      </c>
      <c r="D20" s="292">
        <v>45107</v>
      </c>
      <c r="E20" s="290" t="s">
        <v>190</v>
      </c>
      <c r="F20" s="290" t="s">
        <v>202</v>
      </c>
      <c r="G20" s="290" t="s">
        <v>188</v>
      </c>
      <c r="H20" s="290" t="s">
        <v>181</v>
      </c>
      <c r="I20" s="290" t="s">
        <v>182</v>
      </c>
      <c r="J20" s="290" t="s">
        <v>183</v>
      </c>
      <c r="K20" s="290" t="s">
        <v>183</v>
      </c>
      <c r="L20" s="293">
        <v>0</v>
      </c>
      <c r="M20" s="293">
        <v>29.632000000000001</v>
      </c>
      <c r="N20" s="293">
        <v>38.462000000000003</v>
      </c>
      <c r="O20" s="290" t="s">
        <v>184</v>
      </c>
      <c r="P20" s="293">
        <v>5</v>
      </c>
      <c r="Q20" s="294">
        <v>1235.5999999999999</v>
      </c>
      <c r="R20" s="294">
        <v>388.18</v>
      </c>
      <c r="S20" s="294">
        <v>0</v>
      </c>
      <c r="T20" s="294">
        <v>0</v>
      </c>
      <c r="U20" s="294">
        <v>1623.78</v>
      </c>
    </row>
    <row r="21" spans="1:21" hidden="1" x14ac:dyDescent="0.25">
      <c r="A21" s="291">
        <v>1623788</v>
      </c>
      <c r="B21" s="290" t="s">
        <v>177</v>
      </c>
      <c r="C21" s="292">
        <v>44743</v>
      </c>
      <c r="D21" s="292">
        <v>45107</v>
      </c>
      <c r="E21" s="290" t="s">
        <v>190</v>
      </c>
      <c r="F21" s="290" t="s">
        <v>202</v>
      </c>
      <c r="G21" s="290" t="s">
        <v>193</v>
      </c>
      <c r="H21" s="290" t="s">
        <v>181</v>
      </c>
      <c r="I21" s="290" t="s">
        <v>194</v>
      </c>
      <c r="J21" s="290" t="s">
        <v>183</v>
      </c>
      <c r="K21" s="290" t="s">
        <v>183</v>
      </c>
      <c r="L21" s="293">
        <v>0</v>
      </c>
      <c r="M21" s="293">
        <v>0</v>
      </c>
      <c r="N21" s="293">
        <v>3.4279999999999999</v>
      </c>
      <c r="O21" s="290" t="s">
        <v>184</v>
      </c>
      <c r="P21" s="293">
        <v>2</v>
      </c>
      <c r="Q21" s="294">
        <v>1883.44</v>
      </c>
      <c r="R21" s="294">
        <v>213.12</v>
      </c>
      <c r="S21" s="294">
        <v>0</v>
      </c>
      <c r="T21" s="294">
        <v>0</v>
      </c>
      <c r="U21" s="294">
        <v>2096.56</v>
      </c>
    </row>
    <row r="22" spans="1:21" hidden="1" x14ac:dyDescent="0.25">
      <c r="A22" s="291">
        <v>1623675</v>
      </c>
      <c r="B22" s="290" t="s">
        <v>177</v>
      </c>
      <c r="C22" s="292">
        <v>44743</v>
      </c>
      <c r="D22" s="292">
        <v>45107</v>
      </c>
      <c r="E22" s="290" t="s">
        <v>190</v>
      </c>
      <c r="F22" s="290" t="s">
        <v>202</v>
      </c>
      <c r="G22" s="290" t="s">
        <v>180</v>
      </c>
      <c r="H22" s="290" t="s">
        <v>181</v>
      </c>
      <c r="I22" s="290" t="s">
        <v>182</v>
      </c>
      <c r="J22" s="290" t="s">
        <v>183</v>
      </c>
      <c r="K22" s="290" t="s">
        <v>183</v>
      </c>
      <c r="L22" s="293">
        <v>0</v>
      </c>
      <c r="M22" s="293">
        <v>0</v>
      </c>
      <c r="N22" s="293">
        <v>28.164999999999999</v>
      </c>
      <c r="O22" s="290" t="s">
        <v>184</v>
      </c>
      <c r="P22" s="293">
        <v>14</v>
      </c>
      <c r="Q22" s="294">
        <v>1475.32</v>
      </c>
      <c r="R22" s="294">
        <v>194</v>
      </c>
      <c r="S22" s="294">
        <v>0</v>
      </c>
      <c r="T22" s="294">
        <v>0</v>
      </c>
      <c r="U22" s="294">
        <v>1669.32</v>
      </c>
    </row>
    <row r="23" spans="1:21" x14ac:dyDescent="0.25">
      <c r="A23" s="291">
        <v>1623371</v>
      </c>
      <c r="B23" s="290" t="s">
        <v>177</v>
      </c>
      <c r="C23" s="292">
        <v>44728</v>
      </c>
      <c r="D23" s="292">
        <v>44803</v>
      </c>
      <c r="E23" s="290" t="s">
        <v>200</v>
      </c>
      <c r="F23" s="290" t="s">
        <v>201</v>
      </c>
      <c r="G23" s="290" t="s">
        <v>188</v>
      </c>
      <c r="H23" s="290" t="s">
        <v>181</v>
      </c>
      <c r="I23" s="290" t="s">
        <v>182</v>
      </c>
      <c r="J23" s="290" t="s">
        <v>183</v>
      </c>
      <c r="K23" s="290" t="s">
        <v>183</v>
      </c>
      <c r="L23" s="293">
        <v>0</v>
      </c>
      <c r="M23" s="293">
        <v>31.27</v>
      </c>
      <c r="N23" s="293">
        <v>31.39</v>
      </c>
      <c r="O23" s="290" t="s">
        <v>184</v>
      </c>
      <c r="P23" s="293">
        <v>25</v>
      </c>
      <c r="Q23" s="294">
        <v>0</v>
      </c>
      <c r="R23" s="294">
        <v>0</v>
      </c>
      <c r="S23" s="294">
        <v>0</v>
      </c>
      <c r="T23" s="294">
        <v>2583.21</v>
      </c>
      <c r="U23" s="294">
        <v>2583.21</v>
      </c>
    </row>
    <row r="24" spans="1:21" x14ac:dyDescent="0.25">
      <c r="A24" s="291">
        <v>1621374</v>
      </c>
      <c r="B24" s="290" t="s">
        <v>177</v>
      </c>
      <c r="C24" s="292">
        <v>44749</v>
      </c>
      <c r="D24" s="292">
        <v>44761</v>
      </c>
      <c r="E24" s="290" t="s">
        <v>190</v>
      </c>
      <c r="F24" s="290" t="s">
        <v>203</v>
      </c>
      <c r="G24" s="290" t="s">
        <v>188</v>
      </c>
      <c r="H24" s="290" t="s">
        <v>181</v>
      </c>
      <c r="I24" s="290" t="s">
        <v>182</v>
      </c>
      <c r="J24" s="290" t="s">
        <v>183</v>
      </c>
      <c r="K24" s="290" t="s">
        <v>183</v>
      </c>
      <c r="L24" s="293">
        <v>0</v>
      </c>
      <c r="M24" s="293">
        <v>29.632000000000001</v>
      </c>
      <c r="N24" s="293">
        <v>38.462000000000003</v>
      </c>
      <c r="O24" s="290" t="s">
        <v>184</v>
      </c>
      <c r="P24" s="293">
        <v>12</v>
      </c>
      <c r="Q24" s="294">
        <v>4973.6000000000004</v>
      </c>
      <c r="R24" s="294">
        <v>710.8</v>
      </c>
      <c r="S24" s="294">
        <v>0</v>
      </c>
      <c r="T24" s="294">
        <v>0</v>
      </c>
      <c r="U24" s="294">
        <v>5684.4</v>
      </c>
    </row>
    <row r="25" spans="1:21" hidden="1" x14ac:dyDescent="0.25">
      <c r="A25" s="291">
        <v>1610185</v>
      </c>
      <c r="B25" s="290" t="s">
        <v>177</v>
      </c>
      <c r="C25" s="292">
        <v>44684</v>
      </c>
      <c r="D25" s="292">
        <v>44767</v>
      </c>
      <c r="E25" s="290" t="s">
        <v>200</v>
      </c>
      <c r="F25" s="290" t="s">
        <v>201</v>
      </c>
      <c r="G25" s="290" t="s">
        <v>193</v>
      </c>
      <c r="H25" s="290" t="s">
        <v>181</v>
      </c>
      <c r="I25" s="290" t="s">
        <v>194</v>
      </c>
      <c r="J25" s="290" t="s">
        <v>183</v>
      </c>
      <c r="K25" s="290" t="s">
        <v>183</v>
      </c>
      <c r="L25" s="293">
        <v>0</v>
      </c>
      <c r="M25" s="293">
        <v>2.57</v>
      </c>
      <c r="N25" s="293">
        <v>2.58</v>
      </c>
      <c r="O25" s="290" t="s">
        <v>184</v>
      </c>
      <c r="P25" s="293">
        <v>25</v>
      </c>
      <c r="Q25" s="294">
        <v>0</v>
      </c>
      <c r="R25" s="294">
        <v>0</v>
      </c>
      <c r="S25" s="294">
        <v>0</v>
      </c>
      <c r="T25" s="294">
        <v>4721.24</v>
      </c>
      <c r="U25" s="294">
        <v>4721.24</v>
      </c>
    </row>
    <row r="26" spans="1:21" x14ac:dyDescent="0.25">
      <c r="A26" s="291">
        <v>1606829</v>
      </c>
      <c r="B26" s="290" t="s">
        <v>177</v>
      </c>
      <c r="C26" s="292">
        <v>44712</v>
      </c>
      <c r="D26" s="292">
        <v>44712</v>
      </c>
      <c r="E26" s="290" t="s">
        <v>190</v>
      </c>
      <c r="F26" s="290" t="s">
        <v>196</v>
      </c>
      <c r="G26" s="290" t="s">
        <v>188</v>
      </c>
      <c r="H26" s="290" t="s">
        <v>181</v>
      </c>
      <c r="I26" s="290" t="s">
        <v>182</v>
      </c>
      <c r="J26" s="290" t="s">
        <v>183</v>
      </c>
      <c r="K26" s="290" t="s">
        <v>183</v>
      </c>
      <c r="L26" s="293">
        <v>0</v>
      </c>
      <c r="M26" s="293">
        <v>29.632000000000001</v>
      </c>
      <c r="N26" s="293">
        <v>38.462000000000003</v>
      </c>
      <c r="O26" s="290" t="s">
        <v>184</v>
      </c>
      <c r="P26" s="293">
        <v>50</v>
      </c>
      <c r="Q26" s="294">
        <v>2512.59</v>
      </c>
      <c r="R26" s="294">
        <v>1186.6400000000001</v>
      </c>
      <c r="S26" s="294">
        <v>0</v>
      </c>
      <c r="T26" s="294">
        <v>709.2</v>
      </c>
      <c r="U26" s="294">
        <v>4408.43</v>
      </c>
    </row>
    <row r="27" spans="1:21" hidden="1" x14ac:dyDescent="0.25">
      <c r="A27" s="291">
        <v>1605728</v>
      </c>
      <c r="B27" s="290" t="s">
        <v>177</v>
      </c>
      <c r="C27" s="292">
        <v>44708</v>
      </c>
      <c r="D27" s="292">
        <v>44708</v>
      </c>
      <c r="E27" s="290" t="s">
        <v>190</v>
      </c>
      <c r="F27" s="290" t="s">
        <v>196</v>
      </c>
      <c r="G27" s="290" t="s">
        <v>180</v>
      </c>
      <c r="H27" s="290" t="s">
        <v>181</v>
      </c>
      <c r="I27" s="290" t="s">
        <v>182</v>
      </c>
      <c r="J27" s="290" t="s">
        <v>183</v>
      </c>
      <c r="K27" s="290" t="s">
        <v>183</v>
      </c>
      <c r="L27" s="293">
        <v>0</v>
      </c>
      <c r="M27" s="293">
        <v>0</v>
      </c>
      <c r="N27" s="293">
        <v>28.164999999999999</v>
      </c>
      <c r="O27" s="290" t="s">
        <v>184</v>
      </c>
      <c r="P27" s="293">
        <v>0.1</v>
      </c>
      <c r="Q27" s="294">
        <v>1014.96</v>
      </c>
      <c r="R27" s="294">
        <v>647.67999999999995</v>
      </c>
      <c r="S27" s="294">
        <v>0</v>
      </c>
      <c r="T27" s="294">
        <v>0</v>
      </c>
      <c r="U27" s="294">
        <v>1662.64</v>
      </c>
    </row>
    <row r="28" spans="1:21" hidden="1" x14ac:dyDescent="0.25">
      <c r="A28" s="291">
        <v>1601550</v>
      </c>
      <c r="B28" s="290" t="s">
        <v>177</v>
      </c>
      <c r="C28" s="292">
        <v>44693</v>
      </c>
      <c r="D28" s="292">
        <v>44693</v>
      </c>
      <c r="E28" s="290" t="s">
        <v>190</v>
      </c>
      <c r="F28" s="290" t="s">
        <v>203</v>
      </c>
      <c r="G28" s="290" t="s">
        <v>193</v>
      </c>
      <c r="H28" s="290" t="s">
        <v>181</v>
      </c>
      <c r="I28" s="290" t="s">
        <v>194</v>
      </c>
      <c r="J28" s="290" t="s">
        <v>183</v>
      </c>
      <c r="K28" s="290" t="s">
        <v>183</v>
      </c>
      <c r="L28" s="293">
        <v>0</v>
      </c>
      <c r="M28" s="293">
        <v>0</v>
      </c>
      <c r="N28" s="293">
        <v>3.4279999999999999</v>
      </c>
      <c r="O28" s="290" t="s">
        <v>184</v>
      </c>
      <c r="P28" s="293">
        <v>1</v>
      </c>
      <c r="Q28" s="294">
        <v>532.96</v>
      </c>
      <c r="R28" s="294">
        <v>87.44</v>
      </c>
      <c r="S28" s="294">
        <v>0</v>
      </c>
      <c r="T28" s="294">
        <v>0</v>
      </c>
      <c r="U28" s="294">
        <v>620.4</v>
      </c>
    </row>
    <row r="29" spans="1:21" hidden="1" x14ac:dyDescent="0.25">
      <c r="A29" s="291">
        <v>1595005</v>
      </c>
      <c r="B29" s="290" t="s">
        <v>185</v>
      </c>
      <c r="C29" s="292">
        <v>44669</v>
      </c>
      <c r="D29" s="292">
        <v>44673</v>
      </c>
      <c r="E29" s="290" t="s">
        <v>186</v>
      </c>
      <c r="F29" s="290" t="s">
        <v>192</v>
      </c>
      <c r="G29" s="290" t="s">
        <v>180</v>
      </c>
      <c r="H29" s="290" t="s">
        <v>181</v>
      </c>
      <c r="I29" s="290" t="s">
        <v>182</v>
      </c>
      <c r="J29" s="290" t="s">
        <v>183</v>
      </c>
      <c r="K29" s="290" t="s">
        <v>183</v>
      </c>
      <c r="L29" s="293">
        <v>0</v>
      </c>
      <c r="M29" s="293">
        <v>0</v>
      </c>
      <c r="N29" s="293">
        <v>28.164999999999999</v>
      </c>
      <c r="O29" s="290" t="s">
        <v>184</v>
      </c>
      <c r="P29" s="293">
        <v>10.5</v>
      </c>
      <c r="Q29" s="294">
        <v>81.84</v>
      </c>
      <c r="R29" s="294">
        <v>6.94</v>
      </c>
      <c r="S29" s="294">
        <v>0</v>
      </c>
      <c r="T29" s="294">
        <v>0</v>
      </c>
      <c r="U29" s="294">
        <v>88.78</v>
      </c>
    </row>
    <row r="30" spans="1:21" hidden="1" x14ac:dyDescent="0.25">
      <c r="A30" s="291">
        <v>1595004</v>
      </c>
      <c r="B30" s="290" t="s">
        <v>185</v>
      </c>
      <c r="C30" s="292">
        <v>44669</v>
      </c>
      <c r="D30" s="292">
        <v>44673</v>
      </c>
      <c r="E30" s="290" t="s">
        <v>186</v>
      </c>
      <c r="F30" s="290" t="s">
        <v>187</v>
      </c>
      <c r="G30" s="290" t="s">
        <v>180</v>
      </c>
      <c r="H30" s="290" t="s">
        <v>181</v>
      </c>
      <c r="I30" s="290" t="s">
        <v>182</v>
      </c>
      <c r="J30" s="290" t="s">
        <v>183</v>
      </c>
      <c r="K30" s="290" t="s">
        <v>183</v>
      </c>
      <c r="L30" s="293">
        <v>0</v>
      </c>
      <c r="M30" s="293">
        <v>0</v>
      </c>
      <c r="N30" s="293">
        <v>28.164999999999999</v>
      </c>
      <c r="O30" s="290" t="s">
        <v>184</v>
      </c>
      <c r="P30" s="293">
        <v>5.67</v>
      </c>
      <c r="Q30" s="294">
        <v>81.84</v>
      </c>
      <c r="R30" s="294">
        <v>2.31</v>
      </c>
      <c r="S30" s="294">
        <v>0</v>
      </c>
      <c r="T30" s="294">
        <v>0</v>
      </c>
      <c r="U30" s="294">
        <v>84.15</v>
      </c>
    </row>
    <row r="31" spans="1:21" hidden="1" x14ac:dyDescent="0.25">
      <c r="A31" s="291">
        <v>1578387</v>
      </c>
      <c r="B31" s="290" t="s">
        <v>177</v>
      </c>
      <c r="C31" s="292">
        <v>44620</v>
      </c>
      <c r="D31" s="292">
        <v>44624</v>
      </c>
      <c r="E31" s="290" t="s">
        <v>190</v>
      </c>
      <c r="F31" s="290" t="s">
        <v>204</v>
      </c>
      <c r="G31" s="290" t="s">
        <v>180</v>
      </c>
      <c r="H31" s="290" t="s">
        <v>181</v>
      </c>
      <c r="I31" s="290" t="s">
        <v>182</v>
      </c>
      <c r="J31" s="290" t="s">
        <v>183</v>
      </c>
      <c r="K31" s="290" t="s">
        <v>183</v>
      </c>
      <c r="L31" s="293">
        <v>0</v>
      </c>
      <c r="M31" s="293">
        <v>0</v>
      </c>
      <c r="N31" s="293">
        <v>28.164999999999999</v>
      </c>
      <c r="O31" s="290" t="s">
        <v>184</v>
      </c>
      <c r="P31" s="293">
        <v>42</v>
      </c>
      <c r="Q31" s="294">
        <v>7515.58</v>
      </c>
      <c r="R31" s="294">
        <v>2131.6</v>
      </c>
      <c r="S31" s="294">
        <v>0</v>
      </c>
      <c r="T31" s="294">
        <v>0</v>
      </c>
      <c r="U31" s="294">
        <v>9647.18</v>
      </c>
    </row>
    <row r="32" spans="1:21" x14ac:dyDescent="0.25">
      <c r="A32" s="291">
        <v>1570984</v>
      </c>
      <c r="B32" s="290" t="s">
        <v>185</v>
      </c>
      <c r="C32" s="292">
        <v>44599</v>
      </c>
      <c r="D32" s="292">
        <v>44602</v>
      </c>
      <c r="E32" s="290" t="s">
        <v>186</v>
      </c>
      <c r="F32" s="290" t="s">
        <v>187</v>
      </c>
      <c r="G32" s="290" t="s">
        <v>188</v>
      </c>
      <c r="H32" s="290" t="s">
        <v>181</v>
      </c>
      <c r="I32" s="290" t="s">
        <v>182</v>
      </c>
      <c r="J32" s="290" t="s">
        <v>183</v>
      </c>
      <c r="K32" s="290" t="s">
        <v>183</v>
      </c>
      <c r="L32" s="293">
        <v>0</v>
      </c>
      <c r="M32" s="293">
        <v>29.632000000000001</v>
      </c>
      <c r="N32" s="293">
        <v>38.462000000000003</v>
      </c>
      <c r="O32" s="290" t="s">
        <v>184</v>
      </c>
      <c r="P32" s="293">
        <v>4</v>
      </c>
      <c r="Q32" s="294">
        <v>174.15</v>
      </c>
      <c r="R32" s="294">
        <v>15.62</v>
      </c>
      <c r="S32" s="294">
        <v>0</v>
      </c>
      <c r="T32" s="294">
        <v>0</v>
      </c>
      <c r="U32" s="294">
        <v>189.77</v>
      </c>
    </row>
    <row r="33" spans="1:21" hidden="1" x14ac:dyDescent="0.25">
      <c r="A33" s="291">
        <v>1569858</v>
      </c>
      <c r="B33" s="290" t="s">
        <v>177</v>
      </c>
      <c r="C33" s="292">
        <v>44550</v>
      </c>
      <c r="D33" s="292">
        <v>44628</v>
      </c>
      <c r="E33" s="290" t="s">
        <v>200</v>
      </c>
      <c r="F33" s="290" t="s">
        <v>201</v>
      </c>
      <c r="G33" s="290" t="s">
        <v>180</v>
      </c>
      <c r="H33" s="290" t="s">
        <v>181</v>
      </c>
      <c r="I33" s="290" t="s">
        <v>182</v>
      </c>
      <c r="J33" s="290" t="s">
        <v>183</v>
      </c>
      <c r="K33" s="290" t="s">
        <v>183</v>
      </c>
      <c r="L33" s="293">
        <v>0</v>
      </c>
      <c r="M33" s="293">
        <v>27.82</v>
      </c>
      <c r="N33" s="293">
        <v>27.83</v>
      </c>
      <c r="O33" s="290" t="s">
        <v>184</v>
      </c>
      <c r="P33" s="293">
        <v>25</v>
      </c>
      <c r="Q33" s="294">
        <v>0</v>
      </c>
      <c r="R33" s="294">
        <v>0</v>
      </c>
      <c r="S33" s="294">
        <v>0</v>
      </c>
      <c r="T33" s="294">
        <v>1219.95</v>
      </c>
      <c r="U33" s="294">
        <v>1219.95</v>
      </c>
    </row>
    <row r="34" spans="1:21" x14ac:dyDescent="0.25">
      <c r="A34" s="291">
        <v>1569851</v>
      </c>
      <c r="B34" s="290" t="s">
        <v>177</v>
      </c>
      <c r="C34" s="292">
        <v>44550</v>
      </c>
      <c r="D34" s="292">
        <v>44628</v>
      </c>
      <c r="E34" s="290" t="s">
        <v>200</v>
      </c>
      <c r="F34" s="290" t="s">
        <v>201</v>
      </c>
      <c r="G34" s="290" t="s">
        <v>188</v>
      </c>
      <c r="H34" s="290" t="s">
        <v>181</v>
      </c>
      <c r="I34" s="290" t="s">
        <v>182</v>
      </c>
      <c r="J34" s="290" t="s">
        <v>183</v>
      </c>
      <c r="K34" s="290" t="s">
        <v>183</v>
      </c>
      <c r="L34" s="293">
        <v>0</v>
      </c>
      <c r="M34" s="293">
        <v>37.06</v>
      </c>
      <c r="N34" s="293">
        <v>37.07</v>
      </c>
      <c r="O34" s="290" t="s">
        <v>184</v>
      </c>
      <c r="P34" s="293">
        <v>150</v>
      </c>
      <c r="Q34" s="294">
        <v>0</v>
      </c>
      <c r="R34" s="294">
        <v>0</v>
      </c>
      <c r="S34" s="294">
        <v>0</v>
      </c>
      <c r="T34" s="294">
        <v>5676.45</v>
      </c>
      <c r="U34" s="294">
        <v>5676.45</v>
      </c>
    </row>
    <row r="35" spans="1:21" x14ac:dyDescent="0.25">
      <c r="A35" s="291">
        <v>1569846</v>
      </c>
      <c r="B35" s="290" t="s">
        <v>177</v>
      </c>
      <c r="C35" s="292">
        <v>44550</v>
      </c>
      <c r="D35" s="292">
        <v>44628</v>
      </c>
      <c r="E35" s="290" t="s">
        <v>200</v>
      </c>
      <c r="F35" s="290" t="s">
        <v>201</v>
      </c>
      <c r="G35" s="290" t="s">
        <v>188</v>
      </c>
      <c r="H35" s="290" t="s">
        <v>181</v>
      </c>
      <c r="I35" s="290" t="s">
        <v>182</v>
      </c>
      <c r="J35" s="290" t="s">
        <v>183</v>
      </c>
      <c r="K35" s="290" t="s">
        <v>183</v>
      </c>
      <c r="L35" s="293">
        <v>0</v>
      </c>
      <c r="M35" s="293">
        <v>38.159999999999997</v>
      </c>
      <c r="N35" s="293">
        <v>38.17</v>
      </c>
      <c r="O35" s="290" t="s">
        <v>184</v>
      </c>
      <c r="P35" s="293">
        <v>25</v>
      </c>
      <c r="Q35" s="294">
        <v>0</v>
      </c>
      <c r="R35" s="294">
        <v>0</v>
      </c>
      <c r="S35" s="294">
        <v>0</v>
      </c>
      <c r="T35" s="294">
        <v>1219.95</v>
      </c>
      <c r="U35" s="294">
        <v>1219.95</v>
      </c>
    </row>
    <row r="36" spans="1:21" hidden="1" x14ac:dyDescent="0.25">
      <c r="A36" s="291">
        <v>1554646</v>
      </c>
      <c r="B36" s="290" t="s">
        <v>177</v>
      </c>
      <c r="C36" s="292">
        <v>44466</v>
      </c>
      <c r="D36" s="292">
        <v>44522</v>
      </c>
      <c r="E36" s="290" t="s">
        <v>200</v>
      </c>
      <c r="F36" s="290" t="s">
        <v>201</v>
      </c>
      <c r="G36" s="290" t="s">
        <v>180</v>
      </c>
      <c r="H36" s="290" t="s">
        <v>181</v>
      </c>
      <c r="I36" s="290" t="s">
        <v>182</v>
      </c>
      <c r="J36" s="290" t="s">
        <v>183</v>
      </c>
      <c r="K36" s="290" t="s">
        <v>183</v>
      </c>
      <c r="L36" s="293">
        <v>0</v>
      </c>
      <c r="M36" s="293">
        <v>27.78</v>
      </c>
      <c r="N36" s="293">
        <v>27.8</v>
      </c>
      <c r="O36" s="290" t="s">
        <v>184</v>
      </c>
      <c r="P36" s="293">
        <v>12.38</v>
      </c>
      <c r="Q36" s="294">
        <v>0</v>
      </c>
      <c r="R36" s="294">
        <v>0</v>
      </c>
      <c r="S36" s="294">
        <v>0</v>
      </c>
      <c r="T36" s="294">
        <v>945.42</v>
      </c>
      <c r="U36" s="294">
        <v>945.42</v>
      </c>
    </row>
    <row r="37" spans="1:21" x14ac:dyDescent="0.25">
      <c r="A37" s="291">
        <v>1546357</v>
      </c>
      <c r="B37" s="290" t="s">
        <v>185</v>
      </c>
      <c r="C37" s="292">
        <v>44480</v>
      </c>
      <c r="D37" s="292">
        <v>44483</v>
      </c>
      <c r="E37" s="290" t="s">
        <v>186</v>
      </c>
      <c r="F37" s="290" t="s">
        <v>192</v>
      </c>
      <c r="G37" s="290" t="s">
        <v>188</v>
      </c>
      <c r="H37" s="290" t="s">
        <v>181</v>
      </c>
      <c r="I37" s="290" t="s">
        <v>182</v>
      </c>
      <c r="J37" s="290" t="s">
        <v>183</v>
      </c>
      <c r="K37" s="290" t="s">
        <v>183</v>
      </c>
      <c r="L37" s="293">
        <v>0</v>
      </c>
      <c r="M37" s="293">
        <v>29.632000000000001</v>
      </c>
      <c r="N37" s="293">
        <v>38.462000000000003</v>
      </c>
      <c r="O37" s="290" t="s">
        <v>184</v>
      </c>
      <c r="P37" s="293">
        <v>5</v>
      </c>
      <c r="Q37" s="294">
        <v>116.1</v>
      </c>
      <c r="R37" s="294">
        <v>10.41</v>
      </c>
      <c r="S37" s="294">
        <v>0</v>
      </c>
      <c r="T37" s="294">
        <v>0</v>
      </c>
      <c r="U37" s="294">
        <v>126.51</v>
      </c>
    </row>
    <row r="38" spans="1:21" hidden="1" x14ac:dyDescent="0.25">
      <c r="A38" s="291">
        <v>1546111</v>
      </c>
      <c r="B38" s="290" t="s">
        <v>185</v>
      </c>
      <c r="C38" s="292">
        <v>44480</v>
      </c>
      <c r="D38" s="292">
        <v>44482</v>
      </c>
      <c r="E38" s="290" t="s">
        <v>186</v>
      </c>
      <c r="F38" s="290" t="s">
        <v>187</v>
      </c>
      <c r="G38" s="290" t="s">
        <v>180</v>
      </c>
      <c r="H38" s="290" t="s">
        <v>181</v>
      </c>
      <c r="I38" s="290" t="s">
        <v>182</v>
      </c>
      <c r="J38" s="290" t="s">
        <v>183</v>
      </c>
      <c r="K38" s="290" t="s">
        <v>183</v>
      </c>
      <c r="L38" s="293">
        <v>0</v>
      </c>
      <c r="M38" s="293">
        <v>0</v>
      </c>
      <c r="N38" s="293">
        <v>28.164999999999999</v>
      </c>
      <c r="O38" s="290" t="s">
        <v>184</v>
      </c>
      <c r="P38" s="293">
        <v>5</v>
      </c>
      <c r="Q38" s="294">
        <v>232.2</v>
      </c>
      <c r="R38" s="294">
        <v>20.82</v>
      </c>
      <c r="S38" s="294">
        <v>0</v>
      </c>
      <c r="T38" s="294">
        <v>0</v>
      </c>
      <c r="U38" s="294">
        <v>253.02</v>
      </c>
    </row>
    <row r="39" spans="1:21" x14ac:dyDescent="0.25">
      <c r="A39" s="291">
        <v>1544308</v>
      </c>
      <c r="B39" s="290" t="s">
        <v>185</v>
      </c>
      <c r="C39" s="292">
        <v>44473</v>
      </c>
      <c r="D39" s="292">
        <v>44475</v>
      </c>
      <c r="E39" s="290" t="s">
        <v>186</v>
      </c>
      <c r="F39" s="290" t="s">
        <v>192</v>
      </c>
      <c r="G39" s="290" t="s">
        <v>188</v>
      </c>
      <c r="H39" s="290" t="s">
        <v>181</v>
      </c>
      <c r="I39" s="290" t="s">
        <v>182</v>
      </c>
      <c r="J39" s="290" t="s">
        <v>183</v>
      </c>
      <c r="K39" s="290" t="s">
        <v>183</v>
      </c>
      <c r="L39" s="293">
        <v>0</v>
      </c>
      <c r="M39" s="293">
        <v>29.632000000000001</v>
      </c>
      <c r="N39" s="293">
        <v>38.462000000000003</v>
      </c>
      <c r="O39" s="290" t="s">
        <v>184</v>
      </c>
      <c r="P39" s="293">
        <v>5</v>
      </c>
      <c r="Q39" s="294">
        <v>77.400000000000006</v>
      </c>
      <c r="R39" s="294">
        <v>6.94</v>
      </c>
      <c r="S39" s="294">
        <v>0</v>
      </c>
      <c r="T39" s="294">
        <v>0</v>
      </c>
      <c r="U39" s="294">
        <v>84.34</v>
      </c>
    </row>
    <row r="40" spans="1:21" x14ac:dyDescent="0.25">
      <c r="A40" s="291">
        <v>1544306</v>
      </c>
      <c r="B40" s="290" t="s">
        <v>185</v>
      </c>
      <c r="C40" s="292">
        <v>44473</v>
      </c>
      <c r="D40" s="292">
        <v>44475</v>
      </c>
      <c r="E40" s="290" t="s">
        <v>186</v>
      </c>
      <c r="F40" s="290" t="s">
        <v>187</v>
      </c>
      <c r="G40" s="290" t="s">
        <v>188</v>
      </c>
      <c r="H40" s="290" t="s">
        <v>181</v>
      </c>
      <c r="I40" s="290" t="s">
        <v>182</v>
      </c>
      <c r="J40" s="290" t="s">
        <v>183</v>
      </c>
      <c r="K40" s="290" t="s">
        <v>183</v>
      </c>
      <c r="L40" s="293">
        <v>0</v>
      </c>
      <c r="M40" s="293">
        <v>29.632000000000001</v>
      </c>
      <c r="N40" s="293">
        <v>38.462000000000003</v>
      </c>
      <c r="O40" s="290" t="s">
        <v>184</v>
      </c>
      <c r="P40" s="293">
        <v>2.5</v>
      </c>
      <c r="Q40" s="294">
        <v>77.400000000000006</v>
      </c>
      <c r="R40" s="294">
        <v>6.94</v>
      </c>
      <c r="S40" s="294">
        <v>0</v>
      </c>
      <c r="T40" s="294">
        <v>0</v>
      </c>
      <c r="U40" s="294">
        <v>84.34</v>
      </c>
    </row>
    <row r="41" spans="1:21" x14ac:dyDescent="0.25">
      <c r="A41" s="291">
        <v>1533733</v>
      </c>
      <c r="B41" s="290" t="s">
        <v>177</v>
      </c>
      <c r="C41" s="292">
        <v>44432</v>
      </c>
      <c r="D41" s="292">
        <v>44434</v>
      </c>
      <c r="E41" s="290" t="s">
        <v>205</v>
      </c>
      <c r="F41" s="290" t="s">
        <v>196</v>
      </c>
      <c r="G41" s="290" t="s">
        <v>188</v>
      </c>
      <c r="H41" s="290" t="s">
        <v>206</v>
      </c>
      <c r="I41" s="290" t="s">
        <v>182</v>
      </c>
      <c r="J41" s="290" t="s">
        <v>183</v>
      </c>
      <c r="K41" s="290" t="s">
        <v>183</v>
      </c>
      <c r="L41" s="293">
        <v>0</v>
      </c>
      <c r="M41" s="293">
        <v>32.5</v>
      </c>
      <c r="N41" s="293">
        <v>32.6</v>
      </c>
      <c r="O41" s="290" t="s">
        <v>184</v>
      </c>
      <c r="P41" s="293">
        <v>500</v>
      </c>
      <c r="Q41" s="294">
        <v>1172.8800000000001</v>
      </c>
      <c r="R41" s="294">
        <v>1026.32</v>
      </c>
      <c r="S41" s="294">
        <v>2287.71</v>
      </c>
      <c r="T41" s="294">
        <v>129.36000000000001</v>
      </c>
      <c r="U41" s="294">
        <v>4616.2700000000004</v>
      </c>
    </row>
    <row r="42" spans="1:21" hidden="1" x14ac:dyDescent="0.25">
      <c r="A42" s="291">
        <v>1533653</v>
      </c>
      <c r="B42" s="290" t="s">
        <v>185</v>
      </c>
      <c r="C42" s="292">
        <v>44431</v>
      </c>
      <c r="D42" s="292">
        <v>44433</v>
      </c>
      <c r="E42" s="290" t="s">
        <v>186</v>
      </c>
      <c r="F42" s="290" t="s">
        <v>187</v>
      </c>
      <c r="G42" s="290" t="s">
        <v>193</v>
      </c>
      <c r="H42" s="290" t="s">
        <v>181</v>
      </c>
      <c r="I42" s="290" t="s">
        <v>194</v>
      </c>
      <c r="J42" s="290" t="s">
        <v>183</v>
      </c>
      <c r="K42" s="290" t="s">
        <v>183</v>
      </c>
      <c r="L42" s="293">
        <v>0</v>
      </c>
      <c r="M42" s="293">
        <v>0</v>
      </c>
      <c r="N42" s="293">
        <v>3.4279999999999999</v>
      </c>
      <c r="O42" s="290" t="s">
        <v>184</v>
      </c>
      <c r="P42" s="293">
        <v>2</v>
      </c>
      <c r="Q42" s="294">
        <v>76.78</v>
      </c>
      <c r="R42" s="294">
        <v>6.94</v>
      </c>
      <c r="S42" s="294">
        <v>0</v>
      </c>
      <c r="T42" s="294">
        <v>0</v>
      </c>
      <c r="U42" s="294">
        <v>83.72</v>
      </c>
    </row>
    <row r="43" spans="1:21" hidden="1" x14ac:dyDescent="0.25">
      <c r="A43" s="291">
        <v>1530431</v>
      </c>
      <c r="B43" s="290" t="s">
        <v>185</v>
      </c>
      <c r="C43" s="292">
        <v>44417</v>
      </c>
      <c r="D43" s="292">
        <v>44421</v>
      </c>
      <c r="E43" s="290" t="s">
        <v>186</v>
      </c>
      <c r="F43" s="290" t="s">
        <v>192</v>
      </c>
      <c r="G43" s="290" t="s">
        <v>180</v>
      </c>
      <c r="H43" s="290" t="s">
        <v>181</v>
      </c>
      <c r="I43" s="290" t="s">
        <v>182</v>
      </c>
      <c r="J43" s="290" t="s">
        <v>183</v>
      </c>
      <c r="K43" s="290" t="s">
        <v>183</v>
      </c>
      <c r="L43" s="293">
        <v>0</v>
      </c>
      <c r="M43" s="293">
        <v>0</v>
      </c>
      <c r="N43" s="293">
        <v>28.164999999999999</v>
      </c>
      <c r="O43" s="290" t="s">
        <v>184</v>
      </c>
      <c r="P43" s="293">
        <v>11.25</v>
      </c>
      <c r="Q43" s="294">
        <v>65.52</v>
      </c>
      <c r="R43" s="294">
        <v>36.700000000000003</v>
      </c>
      <c r="S43" s="294">
        <v>0</v>
      </c>
      <c r="T43" s="294">
        <v>0</v>
      </c>
      <c r="U43" s="294">
        <v>102.22</v>
      </c>
    </row>
    <row r="44" spans="1:21" x14ac:dyDescent="0.25">
      <c r="A44" s="291">
        <v>1515124</v>
      </c>
      <c r="B44" s="290" t="s">
        <v>185</v>
      </c>
      <c r="C44" s="292">
        <v>44354</v>
      </c>
      <c r="D44" s="292">
        <v>44357</v>
      </c>
      <c r="E44" s="290" t="s">
        <v>186</v>
      </c>
      <c r="F44" s="290" t="s">
        <v>192</v>
      </c>
      <c r="G44" s="290" t="s">
        <v>188</v>
      </c>
      <c r="H44" s="290" t="s">
        <v>181</v>
      </c>
      <c r="I44" s="290" t="s">
        <v>182</v>
      </c>
      <c r="J44" s="290" t="s">
        <v>183</v>
      </c>
      <c r="K44" s="290" t="s">
        <v>183</v>
      </c>
      <c r="L44" s="293">
        <v>0</v>
      </c>
      <c r="M44" s="293">
        <v>29.632000000000001</v>
      </c>
      <c r="N44" s="293">
        <v>38.462000000000003</v>
      </c>
      <c r="O44" s="290" t="s">
        <v>184</v>
      </c>
      <c r="P44" s="293">
        <v>56</v>
      </c>
      <c r="Q44" s="294">
        <v>496.37</v>
      </c>
      <c r="R44" s="294">
        <v>128.44999999999999</v>
      </c>
      <c r="S44" s="294">
        <v>0</v>
      </c>
      <c r="T44" s="294">
        <v>0</v>
      </c>
      <c r="U44" s="294">
        <v>624.82000000000005</v>
      </c>
    </row>
    <row r="45" spans="1:21" x14ac:dyDescent="0.25">
      <c r="A45" s="291">
        <v>1474604</v>
      </c>
      <c r="B45" s="290" t="s">
        <v>185</v>
      </c>
      <c r="C45" s="292">
        <v>44060</v>
      </c>
      <c r="D45" s="292">
        <v>44061</v>
      </c>
      <c r="E45" s="290" t="s">
        <v>186</v>
      </c>
      <c r="F45" s="290" t="s">
        <v>192</v>
      </c>
      <c r="G45" s="290" t="s">
        <v>207</v>
      </c>
      <c r="H45" s="290" t="s">
        <v>181</v>
      </c>
      <c r="I45" s="290" t="s">
        <v>182</v>
      </c>
      <c r="J45" s="290" t="s">
        <v>183</v>
      </c>
      <c r="K45" s="290" t="s">
        <v>183</v>
      </c>
      <c r="L45" s="293">
        <v>0</v>
      </c>
      <c r="M45" s="293">
        <v>29.643999999999998</v>
      </c>
      <c r="N45" s="293">
        <v>38.479999999999997</v>
      </c>
      <c r="O45" s="290" t="s">
        <v>184</v>
      </c>
      <c r="P45" s="293">
        <v>4</v>
      </c>
      <c r="Q45" s="294">
        <v>73.91</v>
      </c>
      <c r="R45" s="294">
        <v>16.98</v>
      </c>
      <c r="S45" s="294">
        <v>0</v>
      </c>
      <c r="T45" s="294">
        <v>0</v>
      </c>
      <c r="U45" s="294">
        <v>90.89</v>
      </c>
    </row>
    <row r="46" spans="1:21" hidden="1" x14ac:dyDescent="0.25">
      <c r="A46" s="291">
        <v>1469508</v>
      </c>
      <c r="B46" s="290" t="s">
        <v>177</v>
      </c>
      <c r="C46" s="292">
        <v>44026</v>
      </c>
      <c r="D46" s="292">
        <v>44032</v>
      </c>
      <c r="E46" s="290" t="s">
        <v>190</v>
      </c>
      <c r="F46" s="290" t="s">
        <v>208</v>
      </c>
      <c r="G46" s="290" t="s">
        <v>180</v>
      </c>
      <c r="H46" s="290" t="s">
        <v>181</v>
      </c>
      <c r="I46" s="290" t="s">
        <v>182</v>
      </c>
      <c r="J46" s="290" t="s">
        <v>183</v>
      </c>
      <c r="K46" s="290" t="s">
        <v>183</v>
      </c>
      <c r="L46" s="293">
        <v>0</v>
      </c>
      <c r="M46" s="293">
        <v>0</v>
      </c>
      <c r="N46" s="293">
        <v>28.173999999999999</v>
      </c>
      <c r="O46" s="290" t="s">
        <v>184</v>
      </c>
      <c r="P46" s="293">
        <v>8.4499999999999993</v>
      </c>
      <c r="Q46" s="294">
        <v>5316.21</v>
      </c>
      <c r="R46" s="294">
        <v>335.56</v>
      </c>
      <c r="S46" s="294">
        <v>404.91</v>
      </c>
      <c r="T46" s="294">
        <v>0</v>
      </c>
      <c r="U46" s="294">
        <v>6056.68</v>
      </c>
    </row>
    <row r="47" spans="1:21" x14ac:dyDescent="0.25">
      <c r="A47" s="291">
        <v>1459549</v>
      </c>
      <c r="B47" s="290" t="s">
        <v>177</v>
      </c>
      <c r="C47" s="292">
        <v>43937</v>
      </c>
      <c r="D47" s="292">
        <v>43938</v>
      </c>
      <c r="E47" s="290" t="s">
        <v>190</v>
      </c>
      <c r="F47" s="290" t="s">
        <v>196</v>
      </c>
      <c r="G47" s="290" t="s">
        <v>207</v>
      </c>
      <c r="H47" s="290" t="s">
        <v>181</v>
      </c>
      <c r="I47" s="290" t="s">
        <v>182</v>
      </c>
      <c r="J47" s="290" t="s">
        <v>183</v>
      </c>
      <c r="K47" s="290" t="s">
        <v>183</v>
      </c>
      <c r="L47" s="293">
        <v>0</v>
      </c>
      <c r="M47" s="293">
        <v>31.5</v>
      </c>
      <c r="N47" s="293">
        <v>32</v>
      </c>
      <c r="O47" s="290" t="s">
        <v>184</v>
      </c>
      <c r="P47" s="393">
        <v>1000</v>
      </c>
      <c r="Q47" s="294">
        <v>1306.83</v>
      </c>
      <c r="R47" s="294">
        <v>69.12</v>
      </c>
      <c r="S47" s="294">
        <v>0</v>
      </c>
      <c r="T47" s="294">
        <v>0</v>
      </c>
      <c r="U47" s="294">
        <v>1375.95</v>
      </c>
    </row>
    <row r="48" spans="1:21" x14ac:dyDescent="0.25">
      <c r="A48" s="291">
        <v>1453966</v>
      </c>
      <c r="B48" s="290" t="s">
        <v>185</v>
      </c>
      <c r="C48" s="292">
        <v>43878</v>
      </c>
      <c r="D48" s="292">
        <v>43881</v>
      </c>
      <c r="E48" s="290" t="s">
        <v>186</v>
      </c>
      <c r="F48" s="290" t="s">
        <v>192</v>
      </c>
      <c r="G48" s="290" t="s">
        <v>207</v>
      </c>
      <c r="H48" s="290" t="s">
        <v>181</v>
      </c>
      <c r="I48" s="290" t="s">
        <v>182</v>
      </c>
      <c r="J48" s="290" t="s">
        <v>183</v>
      </c>
      <c r="K48" s="290" t="s">
        <v>183</v>
      </c>
      <c r="L48" s="293">
        <v>0</v>
      </c>
      <c r="M48" s="293">
        <v>29.643999999999998</v>
      </c>
      <c r="N48" s="293">
        <v>38.479999999999997</v>
      </c>
      <c r="O48" s="290" t="s">
        <v>184</v>
      </c>
      <c r="P48" s="293">
        <v>8</v>
      </c>
      <c r="Q48" s="294">
        <v>105.91</v>
      </c>
      <c r="R48" s="294">
        <v>18.350000000000001</v>
      </c>
      <c r="S48" s="294">
        <v>0</v>
      </c>
      <c r="T48" s="294">
        <v>0</v>
      </c>
      <c r="U48" s="294">
        <v>124.26</v>
      </c>
    </row>
    <row r="49" spans="1:21" hidden="1" x14ac:dyDescent="0.25">
      <c r="A49" s="291">
        <v>1448070</v>
      </c>
      <c r="B49" s="290" t="s">
        <v>185</v>
      </c>
      <c r="C49" s="292">
        <v>43836</v>
      </c>
      <c r="D49" s="292">
        <v>43837</v>
      </c>
      <c r="E49" s="290" t="s">
        <v>186</v>
      </c>
      <c r="F49" s="290" t="s">
        <v>192</v>
      </c>
      <c r="G49" s="290" t="s">
        <v>180</v>
      </c>
      <c r="H49" s="290" t="s">
        <v>181</v>
      </c>
      <c r="I49" s="290" t="s">
        <v>182</v>
      </c>
      <c r="J49" s="290" t="s">
        <v>183</v>
      </c>
      <c r="K49" s="290" t="s">
        <v>183</v>
      </c>
      <c r="L49" s="293">
        <v>0</v>
      </c>
      <c r="M49" s="293">
        <v>0</v>
      </c>
      <c r="N49" s="293">
        <v>28.173999999999999</v>
      </c>
      <c r="O49" s="290" t="s">
        <v>184</v>
      </c>
      <c r="P49" s="293">
        <v>7.25</v>
      </c>
      <c r="Q49" s="294">
        <v>144.94</v>
      </c>
      <c r="R49" s="294">
        <v>18.350000000000001</v>
      </c>
      <c r="S49" s="294">
        <v>0</v>
      </c>
      <c r="T49" s="294">
        <v>0</v>
      </c>
      <c r="U49" s="294">
        <v>163.29</v>
      </c>
    </row>
    <row r="50" spans="1:21" x14ac:dyDescent="0.25">
      <c r="A50" s="291">
        <v>1438797</v>
      </c>
      <c r="B50" s="290" t="s">
        <v>177</v>
      </c>
      <c r="C50" s="292">
        <v>43746.347858796296</v>
      </c>
      <c r="D50" s="292">
        <v>43748</v>
      </c>
      <c r="E50" s="290" t="s">
        <v>190</v>
      </c>
      <c r="F50" s="290" t="s">
        <v>209</v>
      </c>
      <c r="G50" s="290" t="s">
        <v>207</v>
      </c>
      <c r="H50" s="290" t="s">
        <v>181</v>
      </c>
      <c r="I50" s="290" t="s">
        <v>182</v>
      </c>
      <c r="J50" s="290" t="s">
        <v>183</v>
      </c>
      <c r="K50" s="290" t="s">
        <v>183</v>
      </c>
      <c r="L50" s="293">
        <v>0</v>
      </c>
      <c r="M50" s="293">
        <v>29.643999999999998</v>
      </c>
      <c r="N50" s="293">
        <v>38.479999999999997</v>
      </c>
      <c r="O50" s="290" t="s">
        <v>184</v>
      </c>
      <c r="P50" s="293">
        <v>3.7</v>
      </c>
      <c r="Q50" s="294">
        <v>5122.95</v>
      </c>
      <c r="R50" s="294">
        <v>1147.1199999999999</v>
      </c>
      <c r="S50" s="294">
        <v>0</v>
      </c>
      <c r="T50" s="294">
        <v>0</v>
      </c>
      <c r="U50" s="294">
        <v>6270.07</v>
      </c>
    </row>
    <row r="51" spans="1:21" hidden="1" x14ac:dyDescent="0.25">
      <c r="A51" s="291">
        <v>1435219</v>
      </c>
      <c r="B51" s="290" t="s">
        <v>185</v>
      </c>
      <c r="C51" s="292">
        <v>43719</v>
      </c>
      <c r="D51" s="292">
        <v>43720</v>
      </c>
      <c r="E51" s="290" t="s">
        <v>186</v>
      </c>
      <c r="F51" s="290" t="s">
        <v>192</v>
      </c>
      <c r="G51" s="290" t="s">
        <v>180</v>
      </c>
      <c r="H51" s="290" t="s">
        <v>181</v>
      </c>
      <c r="I51" s="290" t="s">
        <v>182</v>
      </c>
      <c r="J51" s="290" t="s">
        <v>183</v>
      </c>
      <c r="K51" s="290" t="s">
        <v>183</v>
      </c>
      <c r="L51" s="293">
        <v>0</v>
      </c>
      <c r="M51" s="293">
        <v>0</v>
      </c>
      <c r="N51" s="293">
        <v>28.173999999999999</v>
      </c>
      <c r="O51" s="290" t="s">
        <v>184</v>
      </c>
      <c r="P51" s="293">
        <v>28</v>
      </c>
      <c r="Q51" s="294">
        <v>474.6</v>
      </c>
      <c r="R51" s="294">
        <v>110.1</v>
      </c>
      <c r="S51" s="294">
        <v>0</v>
      </c>
      <c r="T51" s="294">
        <v>0</v>
      </c>
      <c r="U51" s="294">
        <v>584.70000000000005</v>
      </c>
    </row>
    <row r="52" spans="1:21" hidden="1" x14ac:dyDescent="0.25">
      <c r="A52" s="291">
        <v>1434590</v>
      </c>
      <c r="B52" s="290" t="s">
        <v>185</v>
      </c>
      <c r="C52" s="292">
        <v>43714</v>
      </c>
      <c r="D52" s="292">
        <v>43715</v>
      </c>
      <c r="E52" s="290" t="s">
        <v>186</v>
      </c>
      <c r="F52" s="290" t="s">
        <v>192</v>
      </c>
      <c r="G52" s="290" t="s">
        <v>180</v>
      </c>
      <c r="H52" s="290" t="s">
        <v>181</v>
      </c>
      <c r="I52" s="290" t="s">
        <v>182</v>
      </c>
      <c r="J52" s="290" t="s">
        <v>183</v>
      </c>
      <c r="K52" s="290" t="s">
        <v>183</v>
      </c>
      <c r="L52" s="293">
        <v>0</v>
      </c>
      <c r="M52" s="293">
        <v>0</v>
      </c>
      <c r="N52" s="293">
        <v>28.173999999999999</v>
      </c>
      <c r="O52" s="290" t="s">
        <v>184</v>
      </c>
      <c r="P52" s="293">
        <v>8.5</v>
      </c>
      <c r="Q52" s="294">
        <v>220.65</v>
      </c>
      <c r="R52" s="294">
        <v>55.05</v>
      </c>
      <c r="S52" s="294">
        <v>0</v>
      </c>
      <c r="T52" s="294">
        <v>0</v>
      </c>
      <c r="U52" s="294">
        <v>275.7</v>
      </c>
    </row>
    <row r="53" spans="1:21" hidden="1" x14ac:dyDescent="0.25">
      <c r="A53" s="291">
        <v>1416598</v>
      </c>
      <c r="B53" s="290" t="s">
        <v>185</v>
      </c>
      <c r="C53" s="292">
        <v>43626</v>
      </c>
      <c r="D53" s="292">
        <v>43627</v>
      </c>
      <c r="E53" s="290" t="s">
        <v>186</v>
      </c>
      <c r="F53" s="290" t="s">
        <v>192</v>
      </c>
      <c r="G53" s="290" t="s">
        <v>180</v>
      </c>
      <c r="H53" s="290" t="s">
        <v>181</v>
      </c>
      <c r="I53" s="290" t="s">
        <v>182</v>
      </c>
      <c r="J53" s="290" t="s">
        <v>183</v>
      </c>
      <c r="K53" s="290" t="s">
        <v>183</v>
      </c>
      <c r="L53" s="293">
        <v>0</v>
      </c>
      <c r="M53" s="293">
        <v>0</v>
      </c>
      <c r="N53" s="293">
        <v>28.173999999999999</v>
      </c>
      <c r="O53" s="290" t="s">
        <v>184</v>
      </c>
      <c r="P53" s="293">
        <v>8</v>
      </c>
      <c r="Q53" s="294">
        <v>167.64</v>
      </c>
      <c r="R53" s="294">
        <v>55.05</v>
      </c>
      <c r="S53" s="294">
        <v>0</v>
      </c>
      <c r="T53" s="294">
        <v>0</v>
      </c>
      <c r="U53" s="294">
        <v>222.69</v>
      </c>
    </row>
    <row r="54" spans="1:21" x14ac:dyDescent="0.25">
      <c r="A54" s="291">
        <v>1386387</v>
      </c>
      <c r="B54" s="290" t="s">
        <v>177</v>
      </c>
      <c r="C54" s="292">
        <v>43472</v>
      </c>
      <c r="D54" s="292">
        <v>43500</v>
      </c>
      <c r="E54" s="290" t="s">
        <v>190</v>
      </c>
      <c r="F54" s="290" t="s">
        <v>210</v>
      </c>
      <c r="G54" s="290" t="s">
        <v>207</v>
      </c>
      <c r="H54" s="290" t="s">
        <v>181</v>
      </c>
      <c r="I54" s="290" t="s">
        <v>182</v>
      </c>
      <c r="J54" s="290" t="s">
        <v>183</v>
      </c>
      <c r="K54" s="290" t="s">
        <v>183</v>
      </c>
      <c r="L54" s="293">
        <v>0</v>
      </c>
      <c r="M54" s="293">
        <v>38.479999999999997</v>
      </c>
      <c r="N54" s="293">
        <v>38.479999999999997</v>
      </c>
      <c r="O54" s="290" t="s">
        <v>184</v>
      </c>
      <c r="P54" s="293">
        <v>10</v>
      </c>
      <c r="Q54" s="294">
        <v>29982.37</v>
      </c>
      <c r="R54" s="294">
        <v>12468.7</v>
      </c>
      <c r="S54" s="294">
        <v>31143.62</v>
      </c>
      <c r="T54" s="294">
        <v>1404.27</v>
      </c>
      <c r="U54" s="294">
        <v>74998.960000000006</v>
      </c>
    </row>
    <row r="55" spans="1:21" hidden="1" x14ac:dyDescent="0.25">
      <c r="A55" s="291">
        <v>1377345</v>
      </c>
      <c r="B55" s="290" t="s">
        <v>189</v>
      </c>
      <c r="C55" s="292">
        <v>43403</v>
      </c>
      <c r="D55" s="292">
        <v>43410</v>
      </c>
      <c r="E55" s="290" t="s">
        <v>195</v>
      </c>
      <c r="F55" s="290" t="s">
        <v>211</v>
      </c>
      <c r="G55" s="290" t="s">
        <v>180</v>
      </c>
      <c r="H55" s="290" t="s">
        <v>197</v>
      </c>
      <c r="I55" s="290" t="s">
        <v>182</v>
      </c>
      <c r="J55" s="290" t="s">
        <v>183</v>
      </c>
      <c r="K55" s="290" t="s">
        <v>183</v>
      </c>
      <c r="L55" s="293">
        <v>0</v>
      </c>
      <c r="M55" s="293">
        <v>0</v>
      </c>
      <c r="N55" s="293">
        <v>28.173999999999999</v>
      </c>
      <c r="O55" s="290" t="s">
        <v>184</v>
      </c>
      <c r="P55" s="293">
        <v>95.42</v>
      </c>
      <c r="Q55" s="294">
        <v>3739.99</v>
      </c>
      <c r="R55" s="294">
        <v>3184.8</v>
      </c>
      <c r="S55" s="294">
        <v>9462.67</v>
      </c>
      <c r="T55" s="294">
        <v>0</v>
      </c>
      <c r="U55" s="294">
        <v>16387.46</v>
      </c>
    </row>
    <row r="56" spans="1:21" x14ac:dyDescent="0.25">
      <c r="A56" s="291">
        <v>1369037</v>
      </c>
      <c r="B56" s="290" t="s">
        <v>185</v>
      </c>
      <c r="C56" s="292">
        <v>43356</v>
      </c>
      <c r="D56" s="292">
        <v>43357</v>
      </c>
      <c r="E56" s="290" t="s">
        <v>186</v>
      </c>
      <c r="F56" s="290" t="s">
        <v>192</v>
      </c>
      <c r="G56" s="290" t="s">
        <v>207</v>
      </c>
      <c r="H56" s="290" t="s">
        <v>181</v>
      </c>
      <c r="I56" s="290" t="s">
        <v>182</v>
      </c>
      <c r="J56" s="290" t="s">
        <v>183</v>
      </c>
      <c r="K56" s="290" t="s">
        <v>183</v>
      </c>
      <c r="L56" s="293">
        <v>0</v>
      </c>
      <c r="M56" s="293">
        <v>29.643999999999998</v>
      </c>
      <c r="N56" s="293">
        <v>38.479999999999997</v>
      </c>
      <c r="O56" s="290" t="s">
        <v>184</v>
      </c>
      <c r="P56" s="293">
        <v>11.25</v>
      </c>
      <c r="Q56" s="294">
        <v>149.88</v>
      </c>
      <c r="R56" s="294">
        <v>55.05</v>
      </c>
      <c r="S56" s="294">
        <v>0</v>
      </c>
      <c r="T56" s="294">
        <v>0</v>
      </c>
      <c r="U56" s="294">
        <v>204.93</v>
      </c>
    </row>
    <row r="57" spans="1:21" hidden="1" x14ac:dyDescent="0.25">
      <c r="A57" s="291">
        <v>1368917</v>
      </c>
      <c r="B57" s="290" t="s">
        <v>177</v>
      </c>
      <c r="C57" s="292">
        <v>43356</v>
      </c>
      <c r="D57" s="292">
        <v>43362</v>
      </c>
      <c r="E57" s="290" t="s">
        <v>190</v>
      </c>
      <c r="F57" s="290" t="s">
        <v>210</v>
      </c>
      <c r="G57" s="290" t="s">
        <v>180</v>
      </c>
      <c r="H57" s="290" t="s">
        <v>181</v>
      </c>
      <c r="I57" s="290" t="s">
        <v>182</v>
      </c>
      <c r="J57" s="290" t="s">
        <v>183</v>
      </c>
      <c r="K57" s="290" t="s">
        <v>183</v>
      </c>
      <c r="L57" s="293">
        <v>0</v>
      </c>
      <c r="M57" s="293">
        <v>27</v>
      </c>
      <c r="N57" s="293">
        <v>28.173999999999999</v>
      </c>
      <c r="O57" s="290" t="s">
        <v>184</v>
      </c>
      <c r="P57" s="293">
        <v>2</v>
      </c>
      <c r="Q57" s="294">
        <v>4675.8500000000004</v>
      </c>
      <c r="R57" s="294">
        <v>2717.87</v>
      </c>
      <c r="S57" s="294">
        <v>1998.97</v>
      </c>
      <c r="T57" s="294">
        <v>0</v>
      </c>
      <c r="U57" s="294">
        <v>9392.69</v>
      </c>
    </row>
    <row r="58" spans="1:21" hidden="1" x14ac:dyDescent="0.25">
      <c r="A58" s="291">
        <v>1367512</v>
      </c>
      <c r="B58" s="290" t="s">
        <v>185</v>
      </c>
      <c r="C58" s="292">
        <v>43349</v>
      </c>
      <c r="D58" s="292">
        <v>43350</v>
      </c>
      <c r="E58" s="290" t="s">
        <v>186</v>
      </c>
      <c r="F58" s="290" t="s">
        <v>192</v>
      </c>
      <c r="G58" s="290" t="s">
        <v>180</v>
      </c>
      <c r="H58" s="290" t="s">
        <v>181</v>
      </c>
      <c r="I58" s="290" t="s">
        <v>182</v>
      </c>
      <c r="J58" s="290" t="s">
        <v>183</v>
      </c>
      <c r="K58" s="290" t="s">
        <v>183</v>
      </c>
      <c r="L58" s="293">
        <v>0</v>
      </c>
      <c r="M58" s="293">
        <v>0</v>
      </c>
      <c r="N58" s="293">
        <v>28.173999999999999</v>
      </c>
      <c r="O58" s="290" t="s">
        <v>184</v>
      </c>
      <c r="P58" s="293">
        <v>18</v>
      </c>
      <c r="Q58" s="294">
        <v>199.84</v>
      </c>
      <c r="R58" s="294">
        <v>73.400000000000006</v>
      </c>
      <c r="S58" s="294">
        <v>0</v>
      </c>
      <c r="T58" s="294">
        <v>0</v>
      </c>
      <c r="U58" s="294">
        <v>273.24</v>
      </c>
    </row>
    <row r="59" spans="1:21" hidden="1" x14ac:dyDescent="0.25">
      <c r="A59" s="291">
        <v>1367188</v>
      </c>
      <c r="B59" s="290" t="s">
        <v>185</v>
      </c>
      <c r="C59" s="292">
        <v>43348</v>
      </c>
      <c r="D59" s="292">
        <v>43349</v>
      </c>
      <c r="E59" s="290" t="s">
        <v>186</v>
      </c>
      <c r="F59" s="290" t="s">
        <v>192</v>
      </c>
      <c r="G59" s="290" t="s">
        <v>180</v>
      </c>
      <c r="H59" s="290" t="s">
        <v>181</v>
      </c>
      <c r="I59" s="290" t="s">
        <v>182</v>
      </c>
      <c r="J59" s="290" t="s">
        <v>183</v>
      </c>
      <c r="K59" s="290" t="s">
        <v>183</v>
      </c>
      <c r="L59" s="293">
        <v>0</v>
      </c>
      <c r="M59" s="293">
        <v>0</v>
      </c>
      <c r="N59" s="293">
        <v>28.173999999999999</v>
      </c>
      <c r="O59" s="290" t="s">
        <v>184</v>
      </c>
      <c r="P59" s="293">
        <v>17.75</v>
      </c>
      <c r="Q59" s="294">
        <v>99.92</v>
      </c>
      <c r="R59" s="294">
        <v>36.700000000000003</v>
      </c>
      <c r="S59" s="294">
        <v>0</v>
      </c>
      <c r="T59" s="294">
        <v>0</v>
      </c>
      <c r="U59" s="294">
        <v>136.62</v>
      </c>
    </row>
    <row r="60" spans="1:21" hidden="1" x14ac:dyDescent="0.25">
      <c r="A60" s="291">
        <v>1357908</v>
      </c>
      <c r="B60" s="290" t="s">
        <v>212</v>
      </c>
      <c r="C60" s="292">
        <v>43312.537118055552</v>
      </c>
      <c r="D60" s="292">
        <v>43312.537118055552</v>
      </c>
      <c r="E60" s="290" t="s">
        <v>213</v>
      </c>
      <c r="F60" s="290" t="s">
        <v>214</v>
      </c>
      <c r="G60" s="290" t="s">
        <v>180</v>
      </c>
      <c r="H60" s="290" t="s">
        <v>181</v>
      </c>
      <c r="I60" s="290" t="s">
        <v>182</v>
      </c>
      <c r="J60" s="290" t="s">
        <v>183</v>
      </c>
      <c r="K60" s="290" t="s">
        <v>183</v>
      </c>
      <c r="L60" s="293">
        <v>0</v>
      </c>
      <c r="M60" s="293">
        <v>0</v>
      </c>
      <c r="N60" s="293">
        <v>28.173999999999999</v>
      </c>
      <c r="O60" s="290" t="s">
        <v>184</v>
      </c>
      <c r="P60" s="293">
        <v>0</v>
      </c>
      <c r="Q60" s="294">
        <v>0</v>
      </c>
      <c r="R60" s="294">
        <v>0</v>
      </c>
      <c r="S60" s="294">
        <v>0</v>
      </c>
      <c r="T60" s="294">
        <v>0</v>
      </c>
      <c r="U60" s="294">
        <v>0</v>
      </c>
    </row>
    <row r="61" spans="1:21" x14ac:dyDescent="0.25">
      <c r="A61" s="291">
        <v>1357908</v>
      </c>
      <c r="B61" s="290" t="s">
        <v>212</v>
      </c>
      <c r="C61" s="292">
        <v>43312.537118055552</v>
      </c>
      <c r="D61" s="292">
        <v>43312.537118055552</v>
      </c>
      <c r="E61" s="290" t="s">
        <v>213</v>
      </c>
      <c r="F61" s="290" t="s">
        <v>214</v>
      </c>
      <c r="G61" s="290" t="s">
        <v>207</v>
      </c>
      <c r="H61" s="290" t="s">
        <v>181</v>
      </c>
      <c r="I61" s="290" t="s">
        <v>182</v>
      </c>
      <c r="J61" s="290" t="s">
        <v>183</v>
      </c>
      <c r="K61" s="290" t="s">
        <v>183</v>
      </c>
      <c r="L61" s="293">
        <v>0</v>
      </c>
      <c r="M61" s="293">
        <v>29.643999999999998</v>
      </c>
      <c r="N61" s="293">
        <v>38.479999999999997</v>
      </c>
      <c r="O61" s="290" t="s">
        <v>184</v>
      </c>
      <c r="P61" s="293">
        <v>0</v>
      </c>
      <c r="Q61" s="294">
        <v>0</v>
      </c>
      <c r="R61" s="294">
        <v>0</v>
      </c>
      <c r="S61" s="294">
        <v>0</v>
      </c>
      <c r="T61" s="294">
        <v>0</v>
      </c>
      <c r="U61" s="294">
        <v>0</v>
      </c>
    </row>
    <row r="62" spans="1:21" hidden="1" x14ac:dyDescent="0.25">
      <c r="A62" s="291">
        <v>1357908</v>
      </c>
      <c r="B62" s="290" t="s">
        <v>212</v>
      </c>
      <c r="C62" s="292">
        <v>43312.537118055552</v>
      </c>
      <c r="D62" s="292">
        <v>43312.537118055552</v>
      </c>
      <c r="E62" s="290" t="s">
        <v>213</v>
      </c>
      <c r="F62" s="290" t="s">
        <v>214</v>
      </c>
      <c r="G62" s="290" t="s">
        <v>215</v>
      </c>
      <c r="H62" s="290" t="s">
        <v>181</v>
      </c>
      <c r="I62" s="290" t="s">
        <v>194</v>
      </c>
      <c r="J62" s="290" t="s">
        <v>183</v>
      </c>
      <c r="K62" s="290" t="s">
        <v>183</v>
      </c>
      <c r="L62" s="293">
        <v>0</v>
      </c>
      <c r="M62" s="293">
        <v>0</v>
      </c>
      <c r="N62" s="293">
        <v>3.4409999999999998</v>
      </c>
      <c r="O62" s="290" t="s">
        <v>184</v>
      </c>
      <c r="P62" s="293">
        <v>0</v>
      </c>
      <c r="Q62" s="294">
        <v>0</v>
      </c>
      <c r="R62" s="294">
        <v>0</v>
      </c>
      <c r="S62" s="294">
        <v>0</v>
      </c>
      <c r="T62" s="294">
        <v>0</v>
      </c>
      <c r="U62" s="294">
        <v>0</v>
      </c>
    </row>
    <row r="63" spans="1:21" hidden="1" x14ac:dyDescent="0.25">
      <c r="A63" s="291">
        <v>1357734</v>
      </c>
      <c r="B63" s="290" t="s">
        <v>185</v>
      </c>
      <c r="C63" s="292">
        <v>43305</v>
      </c>
      <c r="D63" s="292">
        <v>43312</v>
      </c>
      <c r="E63" s="290" t="s">
        <v>186</v>
      </c>
      <c r="F63" s="290" t="s">
        <v>192</v>
      </c>
      <c r="G63" s="290" t="s">
        <v>180</v>
      </c>
      <c r="H63" s="290" t="s">
        <v>181</v>
      </c>
      <c r="I63" s="290" t="s">
        <v>182</v>
      </c>
      <c r="J63" s="290" t="s">
        <v>183</v>
      </c>
      <c r="K63" s="290" t="s">
        <v>183</v>
      </c>
      <c r="L63" s="293">
        <v>0</v>
      </c>
      <c r="M63" s="293">
        <v>0</v>
      </c>
      <c r="N63" s="293">
        <v>28.173999999999999</v>
      </c>
      <c r="O63" s="290" t="s">
        <v>184</v>
      </c>
      <c r="P63" s="293">
        <v>26</v>
      </c>
      <c r="Q63" s="294">
        <v>257.48</v>
      </c>
      <c r="R63" s="294">
        <v>77.48</v>
      </c>
      <c r="S63" s="294">
        <v>0</v>
      </c>
      <c r="T63" s="294">
        <v>0</v>
      </c>
      <c r="U63" s="294">
        <v>334.96</v>
      </c>
    </row>
    <row r="64" spans="1:21" hidden="1" x14ac:dyDescent="0.25">
      <c r="A64" s="291">
        <v>1354290</v>
      </c>
      <c r="B64" s="290" t="s">
        <v>185</v>
      </c>
      <c r="C64" s="292">
        <v>43297</v>
      </c>
      <c r="D64" s="292">
        <v>43299</v>
      </c>
      <c r="E64" s="290" t="s">
        <v>186</v>
      </c>
      <c r="F64" s="290" t="s">
        <v>192</v>
      </c>
      <c r="G64" s="290" t="s">
        <v>180</v>
      </c>
      <c r="H64" s="290" t="s">
        <v>181</v>
      </c>
      <c r="I64" s="290" t="s">
        <v>182</v>
      </c>
      <c r="J64" s="290" t="s">
        <v>183</v>
      </c>
      <c r="K64" s="290" t="s">
        <v>183</v>
      </c>
      <c r="L64" s="293">
        <v>0</v>
      </c>
      <c r="M64" s="293">
        <v>0</v>
      </c>
      <c r="N64" s="293">
        <v>28.173999999999999</v>
      </c>
      <c r="O64" s="290" t="s">
        <v>184</v>
      </c>
      <c r="P64" s="293">
        <v>2.19</v>
      </c>
      <c r="Q64" s="294">
        <v>128.74</v>
      </c>
      <c r="R64" s="294">
        <v>38.74</v>
      </c>
      <c r="S64" s="294">
        <v>0</v>
      </c>
      <c r="T64" s="294">
        <v>0</v>
      </c>
      <c r="U64" s="294">
        <v>167.48</v>
      </c>
    </row>
    <row r="65" spans="1:21" hidden="1" x14ac:dyDescent="0.25">
      <c r="A65" s="291">
        <v>1345187</v>
      </c>
      <c r="B65" s="290" t="s">
        <v>185</v>
      </c>
      <c r="C65" s="292">
        <v>43276</v>
      </c>
      <c r="D65" s="292">
        <v>43299</v>
      </c>
      <c r="E65" s="290" t="s">
        <v>186</v>
      </c>
      <c r="F65" s="290" t="s">
        <v>216</v>
      </c>
      <c r="G65" s="290" t="s">
        <v>180</v>
      </c>
      <c r="H65" s="290" t="s">
        <v>181</v>
      </c>
      <c r="I65" s="290" t="s">
        <v>182</v>
      </c>
      <c r="J65" s="290" t="s">
        <v>183</v>
      </c>
      <c r="K65" s="290" t="s">
        <v>183</v>
      </c>
      <c r="L65" s="293">
        <v>0</v>
      </c>
      <c r="M65" s="293">
        <v>0</v>
      </c>
      <c r="N65" s="293">
        <v>28.173999999999999</v>
      </c>
      <c r="O65" s="290" t="s">
        <v>184</v>
      </c>
      <c r="P65" s="293">
        <v>81289</v>
      </c>
      <c r="Q65" s="294">
        <v>1310.67</v>
      </c>
      <c r="R65" s="294">
        <v>1269.99</v>
      </c>
      <c r="S65" s="294">
        <v>2696.79</v>
      </c>
      <c r="T65" s="294">
        <v>0</v>
      </c>
      <c r="U65" s="294">
        <v>5277.45</v>
      </c>
    </row>
    <row r="66" spans="1:21" hidden="1" x14ac:dyDescent="0.25">
      <c r="A66" s="291">
        <v>1332902</v>
      </c>
      <c r="B66" s="290" t="s">
        <v>185</v>
      </c>
      <c r="C66" s="292">
        <v>43213</v>
      </c>
      <c r="D66" s="292">
        <v>43214</v>
      </c>
      <c r="E66" s="290" t="s">
        <v>186</v>
      </c>
      <c r="F66" s="290" t="s">
        <v>192</v>
      </c>
      <c r="G66" s="290" t="s">
        <v>180</v>
      </c>
      <c r="H66" s="290" t="s">
        <v>181</v>
      </c>
      <c r="I66" s="290" t="s">
        <v>182</v>
      </c>
      <c r="J66" s="290" t="s">
        <v>183</v>
      </c>
      <c r="K66" s="290" t="s">
        <v>183</v>
      </c>
      <c r="L66" s="293">
        <v>0</v>
      </c>
      <c r="M66" s="293">
        <v>0</v>
      </c>
      <c r="N66" s="293">
        <v>28.173999999999999</v>
      </c>
      <c r="O66" s="290" t="s">
        <v>184</v>
      </c>
      <c r="P66" s="293">
        <v>6.25</v>
      </c>
      <c r="Q66" s="294">
        <v>186.72</v>
      </c>
      <c r="R66" s="294">
        <v>77.48</v>
      </c>
      <c r="S66" s="294">
        <v>0</v>
      </c>
      <c r="T66" s="294">
        <v>0</v>
      </c>
      <c r="U66" s="294">
        <v>264.2</v>
      </c>
    </row>
    <row r="67" spans="1:21" x14ac:dyDescent="0.25">
      <c r="A67" s="291">
        <v>1331831</v>
      </c>
      <c r="B67" s="290" t="s">
        <v>217</v>
      </c>
      <c r="C67" s="292">
        <v>43208</v>
      </c>
      <c r="D67" s="292">
        <v>43220</v>
      </c>
      <c r="E67" s="290" t="s">
        <v>190</v>
      </c>
      <c r="F67" s="290" t="s">
        <v>208</v>
      </c>
      <c r="G67" s="290" t="s">
        <v>207</v>
      </c>
      <c r="H67" s="290" t="s">
        <v>181</v>
      </c>
      <c r="I67" s="290" t="s">
        <v>182</v>
      </c>
      <c r="J67" s="290" t="s">
        <v>183</v>
      </c>
      <c r="K67" s="290" t="s">
        <v>183</v>
      </c>
      <c r="L67" s="293">
        <v>0</v>
      </c>
      <c r="M67" s="293">
        <v>29.643999999999998</v>
      </c>
      <c r="N67" s="293">
        <v>38.479999999999997</v>
      </c>
      <c r="O67" s="290" t="s">
        <v>184</v>
      </c>
      <c r="P67" s="293">
        <v>14.05</v>
      </c>
      <c r="Q67" s="294">
        <v>2108.84</v>
      </c>
      <c r="R67" s="294">
        <v>2273.59</v>
      </c>
      <c r="S67" s="294">
        <v>1239.49</v>
      </c>
      <c r="T67" s="294">
        <v>0</v>
      </c>
      <c r="U67" s="294">
        <v>5621.92</v>
      </c>
    </row>
    <row r="68" spans="1:21" hidden="1" x14ac:dyDescent="0.25">
      <c r="A68" s="291">
        <v>1316065</v>
      </c>
      <c r="B68" s="290" t="s">
        <v>177</v>
      </c>
      <c r="C68" s="292">
        <v>43129</v>
      </c>
      <c r="D68" s="292">
        <v>43278</v>
      </c>
      <c r="E68" s="290" t="s">
        <v>190</v>
      </c>
      <c r="F68" s="290" t="s">
        <v>214</v>
      </c>
      <c r="G68" s="290" t="s">
        <v>215</v>
      </c>
      <c r="H68" s="290" t="s">
        <v>181</v>
      </c>
      <c r="I68" s="290" t="s">
        <v>194</v>
      </c>
      <c r="J68" s="290" t="s">
        <v>183</v>
      </c>
      <c r="K68" s="290" t="s">
        <v>183</v>
      </c>
      <c r="L68" s="293">
        <v>0</v>
      </c>
      <c r="M68" s="293">
        <v>0.75</v>
      </c>
      <c r="N68" s="293">
        <v>2</v>
      </c>
      <c r="O68" s="290" t="s">
        <v>184</v>
      </c>
      <c r="P68" s="293">
        <v>6</v>
      </c>
      <c r="Q68" s="294">
        <v>0</v>
      </c>
      <c r="R68" s="294">
        <v>0</v>
      </c>
      <c r="S68" s="294">
        <v>0</v>
      </c>
      <c r="T68" s="294">
        <v>24550</v>
      </c>
      <c r="U68" s="294">
        <v>24550</v>
      </c>
    </row>
    <row r="69" spans="1:21" hidden="1" x14ac:dyDescent="0.25">
      <c r="A69" s="291">
        <v>1309062</v>
      </c>
      <c r="B69" s="290" t="s">
        <v>177</v>
      </c>
      <c r="C69" s="292">
        <v>43067</v>
      </c>
      <c r="D69" s="292">
        <v>43067</v>
      </c>
      <c r="E69" s="290" t="s">
        <v>190</v>
      </c>
      <c r="F69" s="290" t="s">
        <v>218</v>
      </c>
      <c r="G69" s="290" t="s">
        <v>207</v>
      </c>
      <c r="H69" s="290" t="s">
        <v>181</v>
      </c>
      <c r="I69" s="290" t="s">
        <v>182</v>
      </c>
      <c r="J69" s="290" t="s">
        <v>183</v>
      </c>
      <c r="K69" s="290" t="s">
        <v>183</v>
      </c>
      <c r="L69" s="293">
        <v>0</v>
      </c>
      <c r="M69" s="293">
        <v>29.643999999999998</v>
      </c>
      <c r="N69" s="293">
        <v>38.479999999999997</v>
      </c>
      <c r="O69" s="290" t="s">
        <v>184</v>
      </c>
      <c r="P69" s="293">
        <v>20</v>
      </c>
      <c r="Q69" s="294">
        <v>1107.3599999999999</v>
      </c>
      <c r="R69" s="294">
        <v>495.93</v>
      </c>
      <c r="S69" s="294">
        <v>254.09</v>
      </c>
      <c r="T69" s="294">
        <v>0</v>
      </c>
      <c r="U69" s="294">
        <v>1857.38</v>
      </c>
    </row>
    <row r="70" spans="1:21" hidden="1" x14ac:dyDescent="0.25">
      <c r="A70" s="291">
        <v>1308984</v>
      </c>
      <c r="B70" s="290" t="s">
        <v>177</v>
      </c>
      <c r="C70" s="292">
        <v>43066</v>
      </c>
      <c r="D70" s="292">
        <v>43073</v>
      </c>
      <c r="E70" s="290" t="s">
        <v>190</v>
      </c>
      <c r="F70" s="290" t="s">
        <v>210</v>
      </c>
      <c r="G70" s="290" t="s">
        <v>207</v>
      </c>
      <c r="H70" s="290" t="s">
        <v>181</v>
      </c>
      <c r="I70" s="290" t="s">
        <v>182</v>
      </c>
      <c r="J70" s="290" t="s">
        <v>183</v>
      </c>
      <c r="K70" s="290" t="s">
        <v>183</v>
      </c>
      <c r="L70" s="293">
        <v>0</v>
      </c>
      <c r="M70" s="293">
        <v>29.643999999999998</v>
      </c>
      <c r="N70" s="293">
        <v>38.479999999999997</v>
      </c>
      <c r="O70" s="290" t="s">
        <v>184</v>
      </c>
      <c r="P70" s="293">
        <v>1</v>
      </c>
      <c r="Q70" s="294">
        <v>1336.37</v>
      </c>
      <c r="R70" s="294">
        <v>553.45000000000005</v>
      </c>
      <c r="S70" s="294">
        <v>385.75</v>
      </c>
      <c r="T70" s="294">
        <v>0</v>
      </c>
      <c r="U70" s="294">
        <v>2275.5700000000002</v>
      </c>
    </row>
    <row r="71" spans="1:21" hidden="1" x14ac:dyDescent="0.25">
      <c r="A71" s="291">
        <v>1305292</v>
      </c>
      <c r="B71" s="290" t="s">
        <v>185</v>
      </c>
      <c r="C71" s="292">
        <v>43039</v>
      </c>
      <c r="D71" s="292">
        <v>43040</v>
      </c>
      <c r="E71" s="290" t="s">
        <v>186</v>
      </c>
      <c r="F71" s="290" t="s">
        <v>192</v>
      </c>
      <c r="G71" s="290" t="s">
        <v>180</v>
      </c>
      <c r="H71" s="290" t="s">
        <v>181</v>
      </c>
      <c r="I71" s="290" t="s">
        <v>182</v>
      </c>
      <c r="J71" s="290" t="s">
        <v>183</v>
      </c>
      <c r="K71" s="290" t="s">
        <v>183</v>
      </c>
      <c r="L71" s="293">
        <v>0</v>
      </c>
      <c r="M71" s="293">
        <v>0</v>
      </c>
      <c r="N71" s="293">
        <v>28.173999999999999</v>
      </c>
      <c r="O71" s="290" t="s">
        <v>184</v>
      </c>
      <c r="P71" s="293">
        <v>6.25</v>
      </c>
      <c r="Q71" s="294">
        <v>53.68</v>
      </c>
      <c r="R71" s="294">
        <v>19.37</v>
      </c>
      <c r="S71" s="294">
        <v>0</v>
      </c>
      <c r="T71" s="294">
        <v>0</v>
      </c>
      <c r="U71" s="294">
        <v>73.05</v>
      </c>
    </row>
    <row r="72" spans="1:21" hidden="1" x14ac:dyDescent="0.25">
      <c r="A72" s="291">
        <v>1304537</v>
      </c>
      <c r="B72" s="290" t="s">
        <v>185</v>
      </c>
      <c r="C72" s="292">
        <v>43034</v>
      </c>
      <c r="D72" s="292">
        <v>43035</v>
      </c>
      <c r="E72" s="290" t="s">
        <v>186</v>
      </c>
      <c r="F72" s="290" t="s">
        <v>192</v>
      </c>
      <c r="G72" s="290" t="s">
        <v>180</v>
      </c>
      <c r="H72" s="290" t="s">
        <v>181</v>
      </c>
      <c r="I72" s="290" t="s">
        <v>182</v>
      </c>
      <c r="J72" s="290" t="s">
        <v>183</v>
      </c>
      <c r="K72" s="290" t="s">
        <v>183</v>
      </c>
      <c r="L72" s="293">
        <v>0</v>
      </c>
      <c r="M72" s="293">
        <v>0</v>
      </c>
      <c r="N72" s="293">
        <v>28.173999999999999</v>
      </c>
      <c r="O72" s="290" t="s">
        <v>184</v>
      </c>
      <c r="P72" s="293">
        <v>22.5</v>
      </c>
      <c r="Q72" s="294">
        <v>161.04</v>
      </c>
      <c r="R72" s="294">
        <v>58.11</v>
      </c>
      <c r="S72" s="294">
        <v>0</v>
      </c>
      <c r="T72" s="294">
        <v>0</v>
      </c>
      <c r="U72" s="294">
        <v>219.15</v>
      </c>
    </row>
    <row r="73" spans="1:21" hidden="1" x14ac:dyDescent="0.25">
      <c r="A73" s="291">
        <v>1304534</v>
      </c>
      <c r="B73" s="290" t="s">
        <v>185</v>
      </c>
      <c r="C73" s="292">
        <v>43034</v>
      </c>
      <c r="D73" s="292">
        <v>43035</v>
      </c>
      <c r="E73" s="290" t="s">
        <v>186</v>
      </c>
      <c r="F73" s="290" t="s">
        <v>192</v>
      </c>
      <c r="G73" s="290" t="s">
        <v>180</v>
      </c>
      <c r="H73" s="290" t="s">
        <v>181</v>
      </c>
      <c r="I73" s="290" t="s">
        <v>182</v>
      </c>
      <c r="J73" s="290" t="s">
        <v>183</v>
      </c>
      <c r="K73" s="290" t="s">
        <v>183</v>
      </c>
      <c r="L73" s="293">
        <v>0</v>
      </c>
      <c r="M73" s="293">
        <v>0</v>
      </c>
      <c r="N73" s="293">
        <v>28.173999999999999</v>
      </c>
      <c r="O73" s="290" t="s">
        <v>184</v>
      </c>
      <c r="P73" s="293">
        <v>30</v>
      </c>
      <c r="Q73" s="294">
        <v>214.72</v>
      </c>
      <c r="R73" s="294">
        <v>77.48</v>
      </c>
      <c r="S73" s="294">
        <v>0</v>
      </c>
      <c r="T73" s="294">
        <v>0</v>
      </c>
      <c r="U73" s="294">
        <v>292.2</v>
      </c>
    </row>
    <row r="74" spans="1:21" hidden="1" x14ac:dyDescent="0.25">
      <c r="A74" s="291">
        <v>1290525</v>
      </c>
      <c r="B74" s="290" t="s">
        <v>177</v>
      </c>
      <c r="C74" s="292">
        <v>42979</v>
      </c>
      <c r="D74" s="292">
        <v>42979</v>
      </c>
      <c r="E74" s="290" t="s">
        <v>190</v>
      </c>
      <c r="F74" s="290" t="s">
        <v>209</v>
      </c>
      <c r="G74" s="290" t="s">
        <v>215</v>
      </c>
      <c r="H74" s="290" t="s">
        <v>181</v>
      </c>
      <c r="I74" s="290" t="s">
        <v>194</v>
      </c>
      <c r="J74" s="290" t="s">
        <v>183</v>
      </c>
      <c r="K74" s="290" t="s">
        <v>183</v>
      </c>
      <c r="L74" s="293">
        <v>0</v>
      </c>
      <c r="M74" s="293">
        <v>0</v>
      </c>
      <c r="N74" s="293">
        <v>3.4409999999999998</v>
      </c>
      <c r="O74" s="290" t="s">
        <v>184</v>
      </c>
      <c r="P74" s="293">
        <v>0</v>
      </c>
      <c r="Q74" s="294">
        <v>0</v>
      </c>
      <c r="R74" s="294">
        <v>0</v>
      </c>
      <c r="S74" s="294">
        <v>0</v>
      </c>
      <c r="T74" s="294">
        <v>0</v>
      </c>
      <c r="U74" s="294">
        <v>0</v>
      </c>
    </row>
    <row r="75" spans="1:21" hidden="1" x14ac:dyDescent="0.25">
      <c r="A75" s="291">
        <v>1289576</v>
      </c>
      <c r="B75" s="290" t="s">
        <v>177</v>
      </c>
      <c r="C75" s="292">
        <v>42976</v>
      </c>
      <c r="D75" s="292">
        <v>42976</v>
      </c>
      <c r="E75" s="290" t="s">
        <v>190</v>
      </c>
      <c r="F75" s="290" t="s">
        <v>219</v>
      </c>
      <c r="G75" s="290" t="s">
        <v>180</v>
      </c>
      <c r="H75" s="290" t="s">
        <v>181</v>
      </c>
      <c r="I75" s="290" t="s">
        <v>182</v>
      </c>
      <c r="J75" s="290" t="s">
        <v>183</v>
      </c>
      <c r="K75" s="290" t="s">
        <v>183</v>
      </c>
      <c r="L75" s="293">
        <v>0</v>
      </c>
      <c r="M75" s="293">
        <v>0</v>
      </c>
      <c r="N75" s="293">
        <v>28.173999999999999</v>
      </c>
      <c r="O75" s="290" t="s">
        <v>184</v>
      </c>
      <c r="P75" s="293">
        <v>0</v>
      </c>
      <c r="Q75" s="294">
        <v>0</v>
      </c>
      <c r="R75" s="294">
        <v>0</v>
      </c>
      <c r="S75" s="294">
        <v>0</v>
      </c>
      <c r="T75" s="294">
        <v>0</v>
      </c>
      <c r="U75" s="294">
        <v>0</v>
      </c>
    </row>
    <row r="76" spans="1:21" hidden="1" x14ac:dyDescent="0.25">
      <c r="A76" s="291">
        <v>1288785</v>
      </c>
      <c r="B76" s="290" t="s">
        <v>185</v>
      </c>
      <c r="C76" s="292">
        <v>42971</v>
      </c>
      <c r="D76" s="292">
        <v>42978</v>
      </c>
      <c r="E76" s="290" t="s">
        <v>220</v>
      </c>
      <c r="F76" s="290" t="s">
        <v>187</v>
      </c>
      <c r="G76" s="290" t="s">
        <v>180</v>
      </c>
      <c r="H76" s="290" t="s">
        <v>181</v>
      </c>
      <c r="I76" s="290" t="s">
        <v>182</v>
      </c>
      <c r="J76" s="290" t="s">
        <v>183</v>
      </c>
      <c r="K76" s="290" t="s">
        <v>183</v>
      </c>
      <c r="L76" s="293">
        <v>0</v>
      </c>
      <c r="M76" s="293">
        <v>0</v>
      </c>
      <c r="N76" s="293">
        <v>28.173999999999999</v>
      </c>
      <c r="O76" s="290" t="s">
        <v>184</v>
      </c>
      <c r="P76" s="293">
        <v>23</v>
      </c>
      <c r="Q76" s="294">
        <v>909.76</v>
      </c>
      <c r="R76" s="294">
        <v>309.92</v>
      </c>
      <c r="S76" s="294">
        <v>0</v>
      </c>
      <c r="T76" s="294">
        <v>0</v>
      </c>
      <c r="U76" s="294">
        <v>1219.68</v>
      </c>
    </row>
    <row r="77" spans="1:21" hidden="1" x14ac:dyDescent="0.25">
      <c r="A77" s="291">
        <v>1278128</v>
      </c>
      <c r="B77" s="290" t="s">
        <v>185</v>
      </c>
      <c r="C77" s="292">
        <v>42927</v>
      </c>
      <c r="D77" s="292">
        <v>42927</v>
      </c>
      <c r="E77" s="290" t="s">
        <v>186</v>
      </c>
      <c r="F77" s="290" t="s">
        <v>192</v>
      </c>
      <c r="G77" s="290" t="s">
        <v>180</v>
      </c>
      <c r="H77" s="290" t="s">
        <v>181</v>
      </c>
      <c r="I77" s="290" t="s">
        <v>182</v>
      </c>
      <c r="J77" s="290" t="s">
        <v>183</v>
      </c>
      <c r="K77" s="290" t="s">
        <v>183</v>
      </c>
      <c r="L77" s="293">
        <v>0</v>
      </c>
      <c r="M77" s="293">
        <v>0</v>
      </c>
      <c r="N77" s="293">
        <v>28.173999999999999</v>
      </c>
      <c r="O77" s="290" t="s">
        <v>184</v>
      </c>
      <c r="P77" s="293">
        <v>9</v>
      </c>
      <c r="Q77" s="294">
        <v>128.32</v>
      </c>
      <c r="R77" s="294">
        <v>19.37</v>
      </c>
      <c r="S77" s="294">
        <v>0</v>
      </c>
      <c r="T77" s="294">
        <v>0</v>
      </c>
      <c r="U77" s="294">
        <v>147.69</v>
      </c>
    </row>
    <row r="78" spans="1:21" hidden="1" x14ac:dyDescent="0.25">
      <c r="A78" s="291">
        <v>1235193</v>
      </c>
      <c r="B78" s="290" t="s">
        <v>177</v>
      </c>
      <c r="C78" s="292">
        <v>42837</v>
      </c>
      <c r="D78" s="292">
        <v>42838</v>
      </c>
      <c r="E78" s="290" t="s">
        <v>190</v>
      </c>
      <c r="F78" s="290" t="s">
        <v>199</v>
      </c>
      <c r="G78" s="290" t="s">
        <v>207</v>
      </c>
      <c r="H78" s="290" t="s">
        <v>181</v>
      </c>
      <c r="I78" s="290" t="s">
        <v>182</v>
      </c>
      <c r="J78" s="290" t="s">
        <v>183</v>
      </c>
      <c r="K78" s="290" t="s">
        <v>183</v>
      </c>
      <c r="L78" s="293">
        <v>0</v>
      </c>
      <c r="M78" s="293">
        <v>29.643999999999998</v>
      </c>
      <c r="N78" s="293">
        <v>38.479999999999997</v>
      </c>
      <c r="O78" s="290" t="s">
        <v>184</v>
      </c>
      <c r="P78" s="293">
        <v>31</v>
      </c>
      <c r="Q78" s="294">
        <v>391.28</v>
      </c>
      <c r="R78" s="294">
        <v>73.34</v>
      </c>
      <c r="S78" s="294">
        <v>217.12</v>
      </c>
      <c r="T78" s="294">
        <v>0</v>
      </c>
      <c r="U78" s="294">
        <v>681.74</v>
      </c>
    </row>
    <row r="79" spans="1:21" hidden="1" x14ac:dyDescent="0.25">
      <c r="A79" s="291">
        <v>1235189</v>
      </c>
      <c r="B79" s="290" t="s">
        <v>177</v>
      </c>
      <c r="C79" s="292">
        <v>42837</v>
      </c>
      <c r="D79" s="292">
        <v>42842</v>
      </c>
      <c r="E79" s="290" t="s">
        <v>190</v>
      </c>
      <c r="F79" s="290" t="s">
        <v>221</v>
      </c>
      <c r="G79" s="290" t="s">
        <v>207</v>
      </c>
      <c r="H79" s="290" t="s">
        <v>181</v>
      </c>
      <c r="I79" s="290" t="s">
        <v>182</v>
      </c>
      <c r="J79" s="290" t="s">
        <v>183</v>
      </c>
      <c r="K79" s="290" t="s">
        <v>183</v>
      </c>
      <c r="L79" s="293">
        <v>0</v>
      </c>
      <c r="M79" s="293">
        <v>29.643999999999998</v>
      </c>
      <c r="N79" s="293">
        <v>38.479999999999997</v>
      </c>
      <c r="O79" s="290" t="s">
        <v>184</v>
      </c>
      <c r="P79" s="293">
        <v>10</v>
      </c>
      <c r="Q79" s="294">
        <v>391.28</v>
      </c>
      <c r="R79" s="294">
        <v>125.74</v>
      </c>
      <c r="S79" s="294">
        <v>343.98</v>
      </c>
      <c r="T79" s="294">
        <v>129.88</v>
      </c>
      <c r="U79" s="294">
        <v>990.88</v>
      </c>
    </row>
    <row r="80" spans="1:21" hidden="1" x14ac:dyDescent="0.25">
      <c r="A80" s="291">
        <v>1232036</v>
      </c>
      <c r="B80" s="290" t="s">
        <v>177</v>
      </c>
      <c r="C80" s="292">
        <v>42824</v>
      </c>
      <c r="D80" s="292">
        <v>42846</v>
      </c>
      <c r="E80" s="290" t="s">
        <v>190</v>
      </c>
      <c r="F80" s="290" t="s">
        <v>196</v>
      </c>
      <c r="G80" s="290" t="s">
        <v>207</v>
      </c>
      <c r="H80" s="290" t="s">
        <v>181</v>
      </c>
      <c r="I80" s="290" t="s">
        <v>182</v>
      </c>
      <c r="J80" s="290" t="s">
        <v>183</v>
      </c>
      <c r="K80" s="290" t="s">
        <v>183</v>
      </c>
      <c r="L80" s="293">
        <v>0</v>
      </c>
      <c r="M80" s="293">
        <v>29.643999999999998</v>
      </c>
      <c r="N80" s="293">
        <v>38.479999999999997</v>
      </c>
      <c r="O80" s="290" t="s">
        <v>184</v>
      </c>
      <c r="P80" s="293">
        <v>2750</v>
      </c>
      <c r="Q80" s="294">
        <v>6024.9</v>
      </c>
      <c r="R80" s="294">
        <v>5261.16</v>
      </c>
      <c r="S80" s="294">
        <v>0</v>
      </c>
      <c r="T80" s="294">
        <v>276.44</v>
      </c>
      <c r="U80" s="294">
        <v>11562.5</v>
      </c>
    </row>
    <row r="81" spans="1:21" hidden="1" x14ac:dyDescent="0.25">
      <c r="A81" s="291">
        <v>1231726</v>
      </c>
      <c r="B81" s="290" t="s">
        <v>185</v>
      </c>
      <c r="C81" s="292">
        <v>42822</v>
      </c>
      <c r="D81" s="292">
        <v>42822</v>
      </c>
      <c r="E81" s="290" t="s">
        <v>186</v>
      </c>
      <c r="F81" s="290" t="s">
        <v>192</v>
      </c>
      <c r="G81" s="290" t="s">
        <v>207</v>
      </c>
      <c r="H81" s="290" t="s">
        <v>181</v>
      </c>
      <c r="I81" s="290" t="s">
        <v>182</v>
      </c>
      <c r="J81" s="290" t="s">
        <v>183</v>
      </c>
      <c r="K81" s="290" t="s">
        <v>183</v>
      </c>
      <c r="L81" s="293">
        <v>0</v>
      </c>
      <c r="M81" s="293">
        <v>29.643999999999998</v>
      </c>
      <c r="N81" s="293">
        <v>38.479999999999997</v>
      </c>
      <c r="O81" s="290" t="s">
        <v>184</v>
      </c>
      <c r="P81" s="293">
        <v>21</v>
      </c>
      <c r="Q81" s="294">
        <v>196.08</v>
      </c>
      <c r="R81" s="294">
        <v>58.11</v>
      </c>
      <c r="S81" s="294">
        <v>0</v>
      </c>
      <c r="T81" s="294">
        <v>0</v>
      </c>
      <c r="U81" s="294">
        <v>254.19</v>
      </c>
    </row>
    <row r="82" spans="1:21" hidden="1" x14ac:dyDescent="0.25">
      <c r="A82" s="291">
        <v>1230878</v>
      </c>
      <c r="B82" s="290" t="s">
        <v>177</v>
      </c>
      <c r="C82" s="292">
        <v>42818</v>
      </c>
      <c r="D82" s="292">
        <v>42818</v>
      </c>
      <c r="E82" s="290" t="s">
        <v>190</v>
      </c>
      <c r="F82" s="290" t="s">
        <v>202</v>
      </c>
      <c r="G82" s="290" t="s">
        <v>180</v>
      </c>
      <c r="H82" s="290" t="s">
        <v>181</v>
      </c>
      <c r="I82" s="290" t="s">
        <v>182</v>
      </c>
      <c r="J82" s="290" t="s">
        <v>183</v>
      </c>
      <c r="K82" s="290" t="s">
        <v>183</v>
      </c>
      <c r="L82" s="293">
        <v>0</v>
      </c>
      <c r="M82" s="293">
        <v>0</v>
      </c>
      <c r="N82" s="293">
        <v>28.173999999999999</v>
      </c>
      <c r="O82" s="290" t="s">
        <v>184</v>
      </c>
      <c r="P82" s="293">
        <v>1</v>
      </c>
      <c r="Q82" s="294">
        <v>539.20000000000005</v>
      </c>
      <c r="R82" s="294">
        <v>432.52</v>
      </c>
      <c r="S82" s="294">
        <v>138.19</v>
      </c>
      <c r="T82" s="294">
        <v>0</v>
      </c>
      <c r="U82" s="294">
        <v>1109.9100000000001</v>
      </c>
    </row>
    <row r="83" spans="1:21" hidden="1" x14ac:dyDescent="0.25">
      <c r="A83" s="291">
        <v>1230836</v>
      </c>
      <c r="B83" s="290" t="s">
        <v>177</v>
      </c>
      <c r="C83" s="292">
        <v>42818</v>
      </c>
      <c r="D83" s="292">
        <v>42828</v>
      </c>
      <c r="E83" s="290" t="s">
        <v>190</v>
      </c>
      <c r="F83" s="290" t="s">
        <v>196</v>
      </c>
      <c r="G83" s="290" t="s">
        <v>180</v>
      </c>
      <c r="H83" s="290" t="s">
        <v>181</v>
      </c>
      <c r="I83" s="290" t="s">
        <v>182</v>
      </c>
      <c r="J83" s="290" t="s">
        <v>183</v>
      </c>
      <c r="K83" s="290" t="s">
        <v>183</v>
      </c>
      <c r="L83" s="293">
        <v>0</v>
      </c>
      <c r="M83" s="293">
        <v>0</v>
      </c>
      <c r="N83" s="293">
        <v>28.173999999999999</v>
      </c>
      <c r="O83" s="290" t="s">
        <v>184</v>
      </c>
      <c r="P83" s="293">
        <v>300</v>
      </c>
      <c r="Q83" s="294">
        <v>1778.06</v>
      </c>
      <c r="R83" s="294">
        <v>800.96</v>
      </c>
      <c r="S83" s="294">
        <v>2819.5</v>
      </c>
      <c r="T83" s="294">
        <v>0</v>
      </c>
      <c r="U83" s="294">
        <v>5398.52</v>
      </c>
    </row>
    <row r="84" spans="1:21" hidden="1" x14ac:dyDescent="0.25">
      <c r="A84" s="291">
        <v>1230643</v>
      </c>
      <c r="B84" s="290" t="s">
        <v>177</v>
      </c>
      <c r="C84" s="292">
        <v>42817</v>
      </c>
      <c r="D84" s="292">
        <v>42822</v>
      </c>
      <c r="E84" s="290" t="s">
        <v>190</v>
      </c>
      <c r="F84" s="290" t="s">
        <v>196</v>
      </c>
      <c r="G84" s="290" t="s">
        <v>180</v>
      </c>
      <c r="H84" s="290" t="s">
        <v>181</v>
      </c>
      <c r="I84" s="290" t="s">
        <v>182</v>
      </c>
      <c r="J84" s="290" t="s">
        <v>183</v>
      </c>
      <c r="K84" s="290" t="s">
        <v>183</v>
      </c>
      <c r="L84" s="293">
        <v>0</v>
      </c>
      <c r="M84" s="293">
        <v>0</v>
      </c>
      <c r="N84" s="293">
        <v>28.173999999999999</v>
      </c>
      <c r="O84" s="290" t="s">
        <v>184</v>
      </c>
      <c r="P84" s="293">
        <v>300</v>
      </c>
      <c r="Q84" s="294">
        <v>1473.86</v>
      </c>
      <c r="R84" s="294">
        <v>709.97</v>
      </c>
      <c r="S84" s="294">
        <v>1049.06</v>
      </c>
      <c r="T84" s="294">
        <v>0</v>
      </c>
      <c r="U84" s="294">
        <v>3232.89</v>
      </c>
    </row>
    <row r="85" spans="1:21" hidden="1" x14ac:dyDescent="0.25">
      <c r="A85" s="291">
        <v>1228898</v>
      </c>
      <c r="B85" s="290" t="s">
        <v>185</v>
      </c>
      <c r="C85" s="292">
        <v>42808</v>
      </c>
      <c r="D85" s="292">
        <v>42808</v>
      </c>
      <c r="E85" s="290" t="s">
        <v>186</v>
      </c>
      <c r="F85" s="290" t="s">
        <v>192</v>
      </c>
      <c r="G85" s="290" t="s">
        <v>207</v>
      </c>
      <c r="H85" s="290" t="s">
        <v>181</v>
      </c>
      <c r="I85" s="290" t="s">
        <v>182</v>
      </c>
      <c r="J85" s="290" t="s">
        <v>183</v>
      </c>
      <c r="K85" s="290" t="s">
        <v>183</v>
      </c>
      <c r="L85" s="293">
        <v>0</v>
      </c>
      <c r="M85" s="293">
        <v>29.643999999999998</v>
      </c>
      <c r="N85" s="293">
        <v>38.479999999999997</v>
      </c>
      <c r="O85" s="290" t="s">
        <v>184</v>
      </c>
      <c r="P85" s="293">
        <v>6.25</v>
      </c>
      <c r="Q85" s="294">
        <v>65.36</v>
      </c>
      <c r="R85" s="294">
        <v>35.54</v>
      </c>
      <c r="S85" s="294">
        <v>0</v>
      </c>
      <c r="T85" s="294">
        <v>0</v>
      </c>
      <c r="U85" s="294">
        <v>100.9</v>
      </c>
    </row>
    <row r="86" spans="1:21" hidden="1" x14ac:dyDescent="0.25">
      <c r="A86" s="291">
        <v>1225758</v>
      </c>
      <c r="B86" s="290" t="s">
        <v>185</v>
      </c>
      <c r="C86" s="292">
        <v>42794</v>
      </c>
      <c r="D86" s="292">
        <v>42794</v>
      </c>
      <c r="E86" s="290" t="s">
        <v>222</v>
      </c>
      <c r="F86" s="290" t="s">
        <v>192</v>
      </c>
      <c r="G86" s="290" t="s">
        <v>180</v>
      </c>
      <c r="H86" s="290" t="s">
        <v>181</v>
      </c>
      <c r="I86" s="290" t="s">
        <v>182</v>
      </c>
      <c r="J86" s="290" t="s">
        <v>183</v>
      </c>
      <c r="K86" s="290" t="s">
        <v>183</v>
      </c>
      <c r="L86" s="293">
        <v>0</v>
      </c>
      <c r="M86" s="293">
        <v>0</v>
      </c>
      <c r="N86" s="293">
        <v>28.173999999999999</v>
      </c>
      <c r="O86" s="290" t="s">
        <v>184</v>
      </c>
      <c r="P86" s="293">
        <v>74</v>
      </c>
      <c r="Q86" s="294">
        <v>392.16</v>
      </c>
      <c r="R86" s="294">
        <v>106.62</v>
      </c>
      <c r="S86" s="294">
        <v>0</v>
      </c>
      <c r="T86" s="294">
        <v>0</v>
      </c>
      <c r="U86" s="294">
        <v>498.78</v>
      </c>
    </row>
    <row r="87" spans="1:21" hidden="1" x14ac:dyDescent="0.25">
      <c r="A87" s="291">
        <v>1224660</v>
      </c>
      <c r="B87" s="290" t="s">
        <v>185</v>
      </c>
      <c r="C87" s="292">
        <v>42789</v>
      </c>
      <c r="D87" s="292">
        <v>42789</v>
      </c>
      <c r="E87" s="290" t="s">
        <v>222</v>
      </c>
      <c r="F87" s="290" t="s">
        <v>192</v>
      </c>
      <c r="G87" s="290" t="s">
        <v>207</v>
      </c>
      <c r="H87" s="290" t="s">
        <v>181</v>
      </c>
      <c r="I87" s="290" t="s">
        <v>182</v>
      </c>
      <c r="J87" s="290" t="s">
        <v>183</v>
      </c>
      <c r="K87" s="290" t="s">
        <v>183</v>
      </c>
      <c r="L87" s="293">
        <v>0</v>
      </c>
      <c r="M87" s="293">
        <v>29.643999999999998</v>
      </c>
      <c r="N87" s="293">
        <v>38.479999999999997</v>
      </c>
      <c r="O87" s="290" t="s">
        <v>184</v>
      </c>
      <c r="P87" s="293">
        <v>10</v>
      </c>
      <c r="Q87" s="294">
        <v>65.36</v>
      </c>
      <c r="R87" s="294">
        <v>17.77</v>
      </c>
      <c r="S87" s="294">
        <v>0</v>
      </c>
      <c r="T87" s="294">
        <v>0</v>
      </c>
      <c r="U87" s="294">
        <v>83.13</v>
      </c>
    </row>
    <row r="88" spans="1:21" hidden="1" x14ac:dyDescent="0.25">
      <c r="A88" s="291">
        <v>1224658</v>
      </c>
      <c r="B88" s="290" t="s">
        <v>185</v>
      </c>
      <c r="C88" s="292">
        <v>42789</v>
      </c>
      <c r="D88" s="292">
        <v>42789</v>
      </c>
      <c r="E88" s="290" t="s">
        <v>222</v>
      </c>
      <c r="F88" s="290" t="s">
        <v>192</v>
      </c>
      <c r="G88" s="290" t="s">
        <v>207</v>
      </c>
      <c r="H88" s="290" t="s">
        <v>181</v>
      </c>
      <c r="I88" s="290" t="s">
        <v>182</v>
      </c>
      <c r="J88" s="290" t="s">
        <v>183</v>
      </c>
      <c r="K88" s="290" t="s">
        <v>183</v>
      </c>
      <c r="L88" s="293">
        <v>0</v>
      </c>
      <c r="M88" s="293">
        <v>29.643999999999998</v>
      </c>
      <c r="N88" s="293">
        <v>38.479999999999997</v>
      </c>
      <c r="O88" s="290" t="s">
        <v>184</v>
      </c>
      <c r="P88" s="293">
        <v>36</v>
      </c>
      <c r="Q88" s="294">
        <v>326.8</v>
      </c>
      <c r="R88" s="294">
        <v>88.85</v>
      </c>
      <c r="S88" s="294">
        <v>0</v>
      </c>
      <c r="T88" s="294">
        <v>0</v>
      </c>
      <c r="U88" s="294">
        <v>415.65</v>
      </c>
    </row>
    <row r="89" spans="1:21" hidden="1" x14ac:dyDescent="0.25">
      <c r="A89" s="291">
        <v>1224215</v>
      </c>
      <c r="B89" s="290" t="s">
        <v>185</v>
      </c>
      <c r="C89" s="292">
        <v>42787</v>
      </c>
      <c r="D89" s="292">
        <v>42787</v>
      </c>
      <c r="E89" s="290" t="s">
        <v>222</v>
      </c>
      <c r="F89" s="290" t="s">
        <v>179</v>
      </c>
      <c r="G89" s="290" t="s">
        <v>207</v>
      </c>
      <c r="H89" s="290" t="s">
        <v>181</v>
      </c>
      <c r="I89" s="290" t="s">
        <v>182</v>
      </c>
      <c r="J89" s="290" t="s">
        <v>183</v>
      </c>
      <c r="K89" s="290" t="s">
        <v>183</v>
      </c>
      <c r="L89" s="293">
        <v>0</v>
      </c>
      <c r="M89" s="293">
        <v>29.643999999999998</v>
      </c>
      <c r="N89" s="293">
        <v>38.479999999999997</v>
      </c>
      <c r="O89" s="290" t="s">
        <v>184</v>
      </c>
      <c r="P89" s="293">
        <v>0</v>
      </c>
      <c r="Q89" s="294">
        <v>0</v>
      </c>
      <c r="R89" s="294">
        <v>0</v>
      </c>
      <c r="S89" s="294">
        <v>0</v>
      </c>
      <c r="T89" s="294">
        <v>0</v>
      </c>
      <c r="U89" s="294">
        <v>0</v>
      </c>
    </row>
    <row r="90" spans="1:21" hidden="1" x14ac:dyDescent="0.25">
      <c r="A90" s="291">
        <v>1224207</v>
      </c>
      <c r="B90" s="290" t="s">
        <v>185</v>
      </c>
      <c r="C90" s="292">
        <v>42786</v>
      </c>
      <c r="D90" s="292">
        <v>42786</v>
      </c>
      <c r="E90" s="290" t="s">
        <v>222</v>
      </c>
      <c r="F90" s="290" t="s">
        <v>192</v>
      </c>
      <c r="G90" s="290" t="s">
        <v>207</v>
      </c>
      <c r="H90" s="290" t="s">
        <v>181</v>
      </c>
      <c r="I90" s="290" t="s">
        <v>182</v>
      </c>
      <c r="J90" s="290" t="s">
        <v>183</v>
      </c>
      <c r="K90" s="290" t="s">
        <v>183</v>
      </c>
      <c r="L90" s="293">
        <v>0</v>
      </c>
      <c r="M90" s="293">
        <v>29.643999999999998</v>
      </c>
      <c r="N90" s="293">
        <v>38.479999999999997</v>
      </c>
      <c r="O90" s="290" t="s">
        <v>184</v>
      </c>
      <c r="P90" s="293">
        <v>116.5</v>
      </c>
      <c r="Q90" s="294">
        <v>522.88</v>
      </c>
      <c r="R90" s="294">
        <v>142.16</v>
      </c>
      <c r="S90" s="294">
        <v>0</v>
      </c>
      <c r="T90" s="294">
        <v>0</v>
      </c>
      <c r="U90" s="294">
        <v>665.04</v>
      </c>
    </row>
    <row r="91" spans="1:21" hidden="1" x14ac:dyDescent="0.25">
      <c r="A91" s="291">
        <v>1219702</v>
      </c>
      <c r="B91" s="290" t="s">
        <v>185</v>
      </c>
      <c r="C91" s="292">
        <v>42766</v>
      </c>
      <c r="D91" s="292">
        <v>42766</v>
      </c>
      <c r="E91" s="290" t="s">
        <v>186</v>
      </c>
      <c r="F91" s="290" t="s">
        <v>192</v>
      </c>
      <c r="G91" s="290" t="s">
        <v>180</v>
      </c>
      <c r="H91" s="290" t="s">
        <v>181</v>
      </c>
      <c r="I91" s="290" t="s">
        <v>182</v>
      </c>
      <c r="J91" s="290" t="s">
        <v>183</v>
      </c>
      <c r="K91" s="290" t="s">
        <v>183</v>
      </c>
      <c r="L91" s="293">
        <v>0</v>
      </c>
      <c r="M91" s="293">
        <v>0</v>
      </c>
      <c r="N91" s="293">
        <v>28.173999999999999</v>
      </c>
      <c r="O91" s="290" t="s">
        <v>184</v>
      </c>
      <c r="P91" s="293">
        <v>34.75</v>
      </c>
      <c r="Q91" s="294">
        <v>196.08</v>
      </c>
      <c r="R91" s="294">
        <v>53.31</v>
      </c>
      <c r="S91" s="294">
        <v>0</v>
      </c>
      <c r="T91" s="294">
        <v>0</v>
      </c>
      <c r="U91" s="294">
        <v>249.39</v>
      </c>
    </row>
    <row r="92" spans="1:21" hidden="1" x14ac:dyDescent="0.25">
      <c r="A92" s="291">
        <v>1218839</v>
      </c>
      <c r="B92" s="290" t="s">
        <v>185</v>
      </c>
      <c r="C92" s="292">
        <v>42761</v>
      </c>
      <c r="D92" s="292">
        <v>42761</v>
      </c>
      <c r="E92" s="290" t="s">
        <v>186</v>
      </c>
      <c r="F92" s="290" t="s">
        <v>192</v>
      </c>
      <c r="G92" s="290" t="s">
        <v>180</v>
      </c>
      <c r="H92" s="290" t="s">
        <v>181</v>
      </c>
      <c r="I92" s="290" t="s">
        <v>182</v>
      </c>
      <c r="J92" s="290" t="s">
        <v>183</v>
      </c>
      <c r="K92" s="290" t="s">
        <v>183</v>
      </c>
      <c r="L92" s="293">
        <v>0</v>
      </c>
      <c r="M92" s="293">
        <v>0</v>
      </c>
      <c r="N92" s="293">
        <v>28.173999999999999</v>
      </c>
      <c r="O92" s="290" t="s">
        <v>184</v>
      </c>
      <c r="P92" s="293">
        <v>55</v>
      </c>
      <c r="Q92" s="294">
        <v>392.16</v>
      </c>
      <c r="R92" s="294">
        <v>106.62</v>
      </c>
      <c r="S92" s="294">
        <v>0</v>
      </c>
      <c r="T92" s="294">
        <v>0</v>
      </c>
      <c r="U92" s="294">
        <v>498.78</v>
      </c>
    </row>
    <row r="93" spans="1:21" hidden="1" x14ac:dyDescent="0.25">
      <c r="A93" s="291">
        <v>1210716</v>
      </c>
      <c r="B93" s="290" t="s">
        <v>185</v>
      </c>
      <c r="C93" s="292">
        <v>42696</v>
      </c>
      <c r="D93" s="292">
        <v>42696</v>
      </c>
      <c r="E93" s="290" t="s">
        <v>186</v>
      </c>
      <c r="F93" s="290" t="s">
        <v>192</v>
      </c>
      <c r="G93" s="290" t="s">
        <v>180</v>
      </c>
      <c r="H93" s="290" t="s">
        <v>181</v>
      </c>
      <c r="I93" s="290" t="s">
        <v>182</v>
      </c>
      <c r="J93" s="290" t="s">
        <v>183</v>
      </c>
      <c r="K93" s="290" t="s">
        <v>183</v>
      </c>
      <c r="L93" s="293">
        <v>0</v>
      </c>
      <c r="M93" s="293">
        <v>0</v>
      </c>
      <c r="N93" s="293">
        <v>28.173999999999999</v>
      </c>
      <c r="O93" s="290" t="s">
        <v>184</v>
      </c>
      <c r="P93" s="293">
        <v>6.25</v>
      </c>
      <c r="Q93" s="294">
        <v>118.16</v>
      </c>
      <c r="R93" s="294">
        <v>36.700000000000003</v>
      </c>
      <c r="S93" s="294">
        <v>0</v>
      </c>
      <c r="T93" s="294">
        <v>0</v>
      </c>
      <c r="U93" s="294">
        <v>154.86000000000001</v>
      </c>
    </row>
    <row r="94" spans="1:21" hidden="1" x14ac:dyDescent="0.25">
      <c r="A94" s="291">
        <v>1203412</v>
      </c>
      <c r="B94" s="290" t="s">
        <v>185</v>
      </c>
      <c r="C94" s="292">
        <v>42649</v>
      </c>
      <c r="D94" s="292">
        <v>42649</v>
      </c>
      <c r="E94" s="290" t="s">
        <v>186</v>
      </c>
      <c r="F94" s="290" t="s">
        <v>192</v>
      </c>
      <c r="G94" s="290" t="s">
        <v>180</v>
      </c>
      <c r="H94" s="290" t="s">
        <v>181</v>
      </c>
      <c r="I94" s="290" t="s">
        <v>182</v>
      </c>
      <c r="J94" s="290" t="s">
        <v>183</v>
      </c>
      <c r="K94" s="290" t="s">
        <v>183</v>
      </c>
      <c r="L94" s="293">
        <v>0</v>
      </c>
      <c r="M94" s="293">
        <v>0</v>
      </c>
      <c r="N94" s="293">
        <v>28.173999999999999</v>
      </c>
      <c r="O94" s="290" t="s">
        <v>184</v>
      </c>
      <c r="P94" s="293">
        <v>65.5</v>
      </c>
      <c r="Q94" s="294">
        <v>432</v>
      </c>
      <c r="R94" s="294">
        <v>142.16</v>
      </c>
      <c r="S94" s="294">
        <v>0</v>
      </c>
      <c r="T94" s="294">
        <v>0</v>
      </c>
      <c r="U94" s="294">
        <v>574.16</v>
      </c>
    </row>
    <row r="95" spans="1:21" hidden="1" x14ac:dyDescent="0.25">
      <c r="A95" s="291">
        <v>1201231</v>
      </c>
      <c r="B95" s="290" t="s">
        <v>185</v>
      </c>
      <c r="C95" s="292">
        <v>42640</v>
      </c>
      <c r="D95" s="292">
        <v>42640</v>
      </c>
      <c r="E95" s="290" t="s">
        <v>186</v>
      </c>
      <c r="F95" s="290" t="s">
        <v>192</v>
      </c>
      <c r="G95" s="290" t="s">
        <v>180</v>
      </c>
      <c r="H95" s="290" t="s">
        <v>181</v>
      </c>
      <c r="I95" s="290" t="s">
        <v>182</v>
      </c>
      <c r="J95" s="290" t="s">
        <v>183</v>
      </c>
      <c r="K95" s="290" t="s">
        <v>183</v>
      </c>
      <c r="L95" s="293">
        <v>0</v>
      </c>
      <c r="M95" s="293">
        <v>0</v>
      </c>
      <c r="N95" s="293">
        <v>28.173999999999999</v>
      </c>
      <c r="O95" s="290" t="s">
        <v>184</v>
      </c>
      <c r="P95" s="293">
        <v>21.5</v>
      </c>
      <c r="Q95" s="294">
        <v>162</v>
      </c>
      <c r="R95" s="294">
        <v>53.31</v>
      </c>
      <c r="S95" s="294">
        <v>0</v>
      </c>
      <c r="T95" s="294">
        <v>0</v>
      </c>
      <c r="U95" s="294">
        <v>215.31</v>
      </c>
    </row>
    <row r="96" spans="1:21" hidden="1" x14ac:dyDescent="0.25">
      <c r="A96" s="291">
        <v>1200060</v>
      </c>
      <c r="B96" s="290" t="s">
        <v>185</v>
      </c>
      <c r="C96" s="292">
        <v>42634</v>
      </c>
      <c r="D96" s="292">
        <v>42634</v>
      </c>
      <c r="E96" s="290" t="s">
        <v>186</v>
      </c>
      <c r="F96" s="290" t="s">
        <v>216</v>
      </c>
      <c r="G96" s="290" t="s">
        <v>180</v>
      </c>
      <c r="H96" s="290" t="s">
        <v>181</v>
      </c>
      <c r="I96" s="290" t="s">
        <v>182</v>
      </c>
      <c r="J96" s="290" t="s">
        <v>183</v>
      </c>
      <c r="K96" s="290" t="s">
        <v>183</v>
      </c>
      <c r="L96" s="293">
        <v>0</v>
      </c>
      <c r="M96" s="293">
        <v>0</v>
      </c>
      <c r="N96" s="293">
        <v>28.173999999999999</v>
      </c>
      <c r="O96" s="290" t="s">
        <v>184</v>
      </c>
      <c r="P96" s="293">
        <v>35770</v>
      </c>
      <c r="Q96" s="294">
        <v>540</v>
      </c>
      <c r="R96" s="294">
        <v>832.8</v>
      </c>
      <c r="S96" s="294">
        <v>0</v>
      </c>
      <c r="T96" s="294">
        <v>0</v>
      </c>
      <c r="U96" s="294">
        <v>1372.8</v>
      </c>
    </row>
    <row r="97" spans="1:21" hidden="1" x14ac:dyDescent="0.25">
      <c r="A97" s="291">
        <v>1199832</v>
      </c>
      <c r="B97" s="290" t="s">
        <v>185</v>
      </c>
      <c r="C97" s="292">
        <v>42633</v>
      </c>
      <c r="D97" s="292">
        <v>42633</v>
      </c>
      <c r="E97" s="290" t="s">
        <v>186</v>
      </c>
      <c r="F97" s="290" t="s">
        <v>216</v>
      </c>
      <c r="G97" s="290" t="s">
        <v>180</v>
      </c>
      <c r="H97" s="290" t="s">
        <v>181</v>
      </c>
      <c r="I97" s="290" t="s">
        <v>182</v>
      </c>
      <c r="J97" s="290" t="s">
        <v>183</v>
      </c>
      <c r="K97" s="290" t="s">
        <v>183</v>
      </c>
      <c r="L97" s="293">
        <v>0</v>
      </c>
      <c r="M97" s="293">
        <v>0</v>
      </c>
      <c r="N97" s="293">
        <v>28.173999999999999</v>
      </c>
      <c r="O97" s="290" t="s">
        <v>184</v>
      </c>
      <c r="P97" s="293">
        <v>103276</v>
      </c>
      <c r="Q97" s="294">
        <v>1350</v>
      </c>
      <c r="R97" s="294">
        <v>1665.6</v>
      </c>
      <c r="S97" s="294">
        <v>0</v>
      </c>
      <c r="T97" s="294">
        <v>0</v>
      </c>
      <c r="U97" s="294">
        <v>3015.6</v>
      </c>
    </row>
    <row r="98" spans="1:21" hidden="1" x14ac:dyDescent="0.25">
      <c r="A98" s="291">
        <v>1197669</v>
      </c>
      <c r="B98" s="290" t="s">
        <v>177</v>
      </c>
      <c r="C98" s="292">
        <v>42625</v>
      </c>
      <c r="D98" s="292">
        <v>42626</v>
      </c>
      <c r="E98" s="290" t="s">
        <v>190</v>
      </c>
      <c r="F98" s="290" t="s">
        <v>223</v>
      </c>
      <c r="G98" s="290" t="s">
        <v>215</v>
      </c>
      <c r="H98" s="290" t="s">
        <v>181</v>
      </c>
      <c r="I98" s="290" t="s">
        <v>194</v>
      </c>
      <c r="J98" s="290" t="s">
        <v>183</v>
      </c>
      <c r="K98" s="290" t="s">
        <v>183</v>
      </c>
      <c r="L98" s="293">
        <v>0</v>
      </c>
      <c r="M98" s="293">
        <v>0</v>
      </c>
      <c r="N98" s="293">
        <v>3.4409999999999998</v>
      </c>
      <c r="O98" s="290" t="s">
        <v>184</v>
      </c>
      <c r="P98" s="293">
        <v>3300</v>
      </c>
      <c r="Q98" s="294">
        <v>1394.5</v>
      </c>
      <c r="R98" s="294">
        <v>237</v>
      </c>
      <c r="S98" s="294">
        <v>0</v>
      </c>
      <c r="T98" s="294">
        <v>0</v>
      </c>
      <c r="U98" s="294">
        <v>1631.5</v>
      </c>
    </row>
    <row r="99" spans="1:21" hidden="1" x14ac:dyDescent="0.25">
      <c r="A99" s="291">
        <v>1194989</v>
      </c>
      <c r="B99" s="290" t="s">
        <v>177</v>
      </c>
      <c r="C99" s="292">
        <v>42611</v>
      </c>
      <c r="D99" s="292">
        <v>42611</v>
      </c>
      <c r="E99" s="290" t="s">
        <v>190</v>
      </c>
      <c r="F99" s="290" t="s">
        <v>223</v>
      </c>
      <c r="G99" s="290" t="s">
        <v>207</v>
      </c>
      <c r="H99" s="290" t="s">
        <v>181</v>
      </c>
      <c r="I99" s="290" t="s">
        <v>182</v>
      </c>
      <c r="J99" s="290" t="s">
        <v>183</v>
      </c>
      <c r="K99" s="290" t="s">
        <v>183</v>
      </c>
      <c r="L99" s="293">
        <v>0</v>
      </c>
      <c r="M99" s="293">
        <v>29.643999999999998</v>
      </c>
      <c r="N99" s="293">
        <v>38.479999999999997</v>
      </c>
      <c r="O99" s="290" t="s">
        <v>184</v>
      </c>
      <c r="P99" s="293">
        <v>2000</v>
      </c>
      <c r="Q99" s="294">
        <v>1003.92</v>
      </c>
      <c r="R99" s="294">
        <v>120.3</v>
      </c>
      <c r="S99" s="294">
        <v>0</v>
      </c>
      <c r="T99" s="294">
        <v>0</v>
      </c>
      <c r="U99" s="294">
        <v>1124.22</v>
      </c>
    </row>
    <row r="100" spans="1:21" hidden="1" x14ac:dyDescent="0.25">
      <c r="A100" s="291">
        <v>1194135</v>
      </c>
      <c r="B100" s="290" t="s">
        <v>185</v>
      </c>
      <c r="C100" s="292">
        <v>42606</v>
      </c>
      <c r="D100" s="292">
        <v>42606</v>
      </c>
      <c r="E100" s="290" t="s">
        <v>186</v>
      </c>
      <c r="F100" s="290" t="s">
        <v>192</v>
      </c>
      <c r="G100" s="290" t="s">
        <v>207</v>
      </c>
      <c r="H100" s="290" t="s">
        <v>181</v>
      </c>
      <c r="I100" s="290" t="s">
        <v>182</v>
      </c>
      <c r="J100" s="290" t="s">
        <v>183</v>
      </c>
      <c r="K100" s="290" t="s">
        <v>183</v>
      </c>
      <c r="L100" s="293">
        <v>0</v>
      </c>
      <c r="M100" s="293">
        <v>29.643999999999998</v>
      </c>
      <c r="N100" s="293">
        <v>38.479999999999997</v>
      </c>
      <c r="O100" s="290" t="s">
        <v>184</v>
      </c>
      <c r="P100" s="293">
        <v>9</v>
      </c>
      <c r="Q100" s="294">
        <v>54</v>
      </c>
      <c r="R100" s="294">
        <v>17.77</v>
      </c>
      <c r="S100" s="294">
        <v>0</v>
      </c>
      <c r="T100" s="294">
        <v>0</v>
      </c>
      <c r="U100" s="294">
        <v>71.77</v>
      </c>
    </row>
    <row r="101" spans="1:21" hidden="1" x14ac:dyDescent="0.25">
      <c r="A101" s="291">
        <v>1193913</v>
      </c>
      <c r="B101" s="290" t="s">
        <v>177</v>
      </c>
      <c r="C101" s="292">
        <v>42606</v>
      </c>
      <c r="D101" s="292">
        <v>42606</v>
      </c>
      <c r="E101" s="290" t="s">
        <v>190</v>
      </c>
      <c r="F101" s="290" t="s">
        <v>223</v>
      </c>
      <c r="G101" s="290" t="s">
        <v>215</v>
      </c>
      <c r="H101" s="290" t="s">
        <v>181</v>
      </c>
      <c r="I101" s="290" t="s">
        <v>194</v>
      </c>
      <c r="J101" s="290" t="s">
        <v>183</v>
      </c>
      <c r="K101" s="290" t="s">
        <v>183</v>
      </c>
      <c r="L101" s="293">
        <v>0</v>
      </c>
      <c r="M101" s="293">
        <v>0</v>
      </c>
      <c r="N101" s="293">
        <v>3.4409999999999998</v>
      </c>
      <c r="O101" s="290" t="s">
        <v>184</v>
      </c>
      <c r="P101" s="293">
        <v>1800</v>
      </c>
      <c r="Q101" s="294">
        <v>727.64</v>
      </c>
      <c r="R101" s="294">
        <v>143.04</v>
      </c>
      <c r="S101" s="294">
        <v>0</v>
      </c>
      <c r="T101" s="294">
        <v>0</v>
      </c>
      <c r="U101" s="294">
        <v>870.68</v>
      </c>
    </row>
    <row r="102" spans="1:21" hidden="1" x14ac:dyDescent="0.25">
      <c r="A102" s="291">
        <v>1184099</v>
      </c>
      <c r="B102" s="290" t="s">
        <v>177</v>
      </c>
      <c r="C102" s="292">
        <v>42565</v>
      </c>
      <c r="D102" s="292">
        <v>42566</v>
      </c>
      <c r="E102" s="290" t="s">
        <v>190</v>
      </c>
      <c r="F102" s="290" t="s">
        <v>209</v>
      </c>
      <c r="G102" s="290" t="s">
        <v>207</v>
      </c>
      <c r="H102" s="290" t="s">
        <v>181</v>
      </c>
      <c r="I102" s="290" t="s">
        <v>182</v>
      </c>
      <c r="J102" s="290" t="s">
        <v>183</v>
      </c>
      <c r="K102" s="290" t="s">
        <v>183</v>
      </c>
      <c r="L102" s="293">
        <v>0</v>
      </c>
      <c r="M102" s="293">
        <v>29.643999999999998</v>
      </c>
      <c r="N102" s="293">
        <v>38.479999999999997</v>
      </c>
      <c r="O102" s="290" t="s">
        <v>184</v>
      </c>
      <c r="P102" s="293">
        <v>0.1</v>
      </c>
      <c r="Q102" s="294">
        <v>1459.44</v>
      </c>
      <c r="R102" s="294">
        <v>948.72</v>
      </c>
      <c r="S102" s="294">
        <v>0</v>
      </c>
      <c r="T102" s="294">
        <v>0</v>
      </c>
      <c r="U102" s="294">
        <v>2408.16</v>
      </c>
    </row>
    <row r="103" spans="1:21" hidden="1" x14ac:dyDescent="0.25">
      <c r="A103" s="291">
        <v>1183334</v>
      </c>
      <c r="B103" s="290" t="s">
        <v>177</v>
      </c>
      <c r="C103" s="292">
        <v>42563</v>
      </c>
      <c r="D103" s="292">
        <v>42564</v>
      </c>
      <c r="E103" s="290" t="s">
        <v>190</v>
      </c>
      <c r="F103" s="290" t="s">
        <v>208</v>
      </c>
      <c r="G103" s="290" t="s">
        <v>180</v>
      </c>
      <c r="H103" s="290" t="s">
        <v>181</v>
      </c>
      <c r="I103" s="290" t="s">
        <v>182</v>
      </c>
      <c r="J103" s="290" t="s">
        <v>183</v>
      </c>
      <c r="K103" s="290" t="s">
        <v>183</v>
      </c>
      <c r="L103" s="293">
        <v>0</v>
      </c>
      <c r="M103" s="293">
        <v>0</v>
      </c>
      <c r="N103" s="293">
        <v>28.173999999999999</v>
      </c>
      <c r="O103" s="290" t="s">
        <v>184</v>
      </c>
      <c r="P103" s="293">
        <v>56.84</v>
      </c>
      <c r="Q103" s="294">
        <v>6089.71</v>
      </c>
      <c r="R103" s="294">
        <v>2812.74</v>
      </c>
      <c r="S103" s="294">
        <v>0</v>
      </c>
      <c r="T103" s="294">
        <v>0</v>
      </c>
      <c r="U103" s="294">
        <v>8902.4500000000007</v>
      </c>
    </row>
    <row r="104" spans="1:21" hidden="1" x14ac:dyDescent="0.25">
      <c r="A104" s="291">
        <v>1180343</v>
      </c>
      <c r="B104" s="290" t="s">
        <v>177</v>
      </c>
      <c r="C104" s="292">
        <v>42548</v>
      </c>
      <c r="D104" s="292">
        <v>42551</v>
      </c>
      <c r="E104" s="290" t="s">
        <v>224</v>
      </c>
      <c r="F104" s="290" t="s">
        <v>191</v>
      </c>
      <c r="G104" s="290" t="s">
        <v>180</v>
      </c>
      <c r="H104" s="290" t="s">
        <v>181</v>
      </c>
      <c r="I104" s="290" t="s">
        <v>182</v>
      </c>
      <c r="J104" s="290" t="s">
        <v>183</v>
      </c>
      <c r="K104" s="290" t="s">
        <v>183</v>
      </c>
      <c r="L104" s="293">
        <v>0</v>
      </c>
      <c r="M104" s="293">
        <v>0</v>
      </c>
      <c r="N104" s="293">
        <v>28.173999999999999</v>
      </c>
      <c r="O104" s="290" t="s">
        <v>184</v>
      </c>
      <c r="P104" s="293">
        <v>9</v>
      </c>
      <c r="Q104" s="294">
        <v>1638.44</v>
      </c>
      <c r="R104" s="294">
        <v>339.92</v>
      </c>
      <c r="S104" s="294">
        <v>0</v>
      </c>
      <c r="T104" s="294">
        <v>0</v>
      </c>
      <c r="U104" s="294">
        <v>1978.36</v>
      </c>
    </row>
    <row r="105" spans="1:21" hidden="1" x14ac:dyDescent="0.25">
      <c r="A105" s="291">
        <v>1180093</v>
      </c>
      <c r="B105" s="290" t="s">
        <v>185</v>
      </c>
      <c r="C105" s="292">
        <v>42549</v>
      </c>
      <c r="D105" s="292">
        <v>42549</v>
      </c>
      <c r="E105" s="290" t="s">
        <v>222</v>
      </c>
      <c r="F105" s="290" t="s">
        <v>192</v>
      </c>
      <c r="G105" s="290" t="s">
        <v>180</v>
      </c>
      <c r="H105" s="290" t="s">
        <v>181</v>
      </c>
      <c r="I105" s="290" t="s">
        <v>182</v>
      </c>
      <c r="J105" s="290" t="s">
        <v>183</v>
      </c>
      <c r="K105" s="290" t="s">
        <v>183</v>
      </c>
      <c r="L105" s="293">
        <v>0</v>
      </c>
      <c r="M105" s="293">
        <v>0</v>
      </c>
      <c r="N105" s="293">
        <v>28.173999999999999</v>
      </c>
      <c r="O105" s="290" t="s">
        <v>184</v>
      </c>
      <c r="P105" s="293">
        <v>106</v>
      </c>
      <c r="Q105" s="294">
        <v>242.16</v>
      </c>
      <c r="R105" s="294">
        <v>71.08</v>
      </c>
      <c r="S105" s="294">
        <v>0</v>
      </c>
      <c r="T105" s="294">
        <v>0</v>
      </c>
      <c r="U105" s="294">
        <v>313.24</v>
      </c>
    </row>
    <row r="106" spans="1:21" hidden="1" x14ac:dyDescent="0.25">
      <c r="A106" s="291">
        <v>1178354</v>
      </c>
      <c r="B106" s="290" t="s">
        <v>185</v>
      </c>
      <c r="C106" s="292">
        <v>42542</v>
      </c>
      <c r="D106" s="292">
        <v>42542</v>
      </c>
      <c r="E106" s="290" t="s">
        <v>222</v>
      </c>
      <c r="F106" s="290" t="s">
        <v>192</v>
      </c>
      <c r="G106" s="290" t="s">
        <v>207</v>
      </c>
      <c r="H106" s="290" t="s">
        <v>181</v>
      </c>
      <c r="I106" s="290" t="s">
        <v>182</v>
      </c>
      <c r="J106" s="290" t="s">
        <v>183</v>
      </c>
      <c r="K106" s="290" t="s">
        <v>183</v>
      </c>
      <c r="L106" s="293">
        <v>0</v>
      </c>
      <c r="M106" s="293">
        <v>29.643999999999998</v>
      </c>
      <c r="N106" s="293">
        <v>38.479999999999997</v>
      </c>
      <c r="O106" s="290" t="s">
        <v>184</v>
      </c>
      <c r="P106" s="293">
        <v>136</v>
      </c>
      <c r="Q106" s="294">
        <v>242.16</v>
      </c>
      <c r="R106" s="294">
        <v>71.08</v>
      </c>
      <c r="S106" s="294">
        <v>0</v>
      </c>
      <c r="T106" s="294">
        <v>0</v>
      </c>
      <c r="U106" s="294">
        <v>313.24</v>
      </c>
    </row>
    <row r="107" spans="1:21" hidden="1" x14ac:dyDescent="0.25">
      <c r="A107" s="291">
        <v>1178353</v>
      </c>
      <c r="B107" s="290" t="s">
        <v>185</v>
      </c>
      <c r="C107" s="292">
        <v>42542</v>
      </c>
      <c r="D107" s="292">
        <v>42542</v>
      </c>
      <c r="E107" s="290" t="s">
        <v>186</v>
      </c>
      <c r="F107" s="290" t="s">
        <v>192</v>
      </c>
      <c r="G107" s="290" t="s">
        <v>180</v>
      </c>
      <c r="H107" s="290" t="s">
        <v>181</v>
      </c>
      <c r="I107" s="290" t="s">
        <v>182</v>
      </c>
      <c r="J107" s="290" t="s">
        <v>183</v>
      </c>
      <c r="K107" s="290" t="s">
        <v>183</v>
      </c>
      <c r="L107" s="293">
        <v>0</v>
      </c>
      <c r="M107" s="293">
        <v>0</v>
      </c>
      <c r="N107" s="293">
        <v>28.173999999999999</v>
      </c>
      <c r="O107" s="290" t="s">
        <v>184</v>
      </c>
      <c r="P107" s="293">
        <v>0</v>
      </c>
      <c r="Q107" s="294">
        <v>60.54</v>
      </c>
      <c r="R107" s="294">
        <v>17.77</v>
      </c>
      <c r="S107" s="294">
        <v>0</v>
      </c>
      <c r="T107" s="294">
        <v>0</v>
      </c>
      <c r="U107" s="294">
        <v>78.31</v>
      </c>
    </row>
    <row r="108" spans="1:21" hidden="1" x14ac:dyDescent="0.25">
      <c r="A108" s="291">
        <v>1178061</v>
      </c>
      <c r="B108" s="290" t="s">
        <v>185</v>
      </c>
      <c r="C108" s="292">
        <v>42541</v>
      </c>
      <c r="D108" s="292">
        <v>42541</v>
      </c>
      <c r="E108" s="290" t="s">
        <v>222</v>
      </c>
      <c r="F108" s="290" t="s">
        <v>192</v>
      </c>
      <c r="G108" s="290" t="s">
        <v>180</v>
      </c>
      <c r="H108" s="290" t="s">
        <v>181</v>
      </c>
      <c r="I108" s="290" t="s">
        <v>182</v>
      </c>
      <c r="J108" s="290" t="s">
        <v>183</v>
      </c>
      <c r="K108" s="290" t="s">
        <v>183</v>
      </c>
      <c r="L108" s="293">
        <v>0</v>
      </c>
      <c r="M108" s="293">
        <v>0</v>
      </c>
      <c r="N108" s="293">
        <v>28.173999999999999</v>
      </c>
      <c r="O108" s="290" t="s">
        <v>184</v>
      </c>
      <c r="P108" s="293">
        <v>196</v>
      </c>
      <c r="Q108" s="294">
        <v>242.16</v>
      </c>
      <c r="R108" s="294">
        <v>71.08</v>
      </c>
      <c r="S108" s="294">
        <v>0</v>
      </c>
      <c r="T108" s="294">
        <v>0</v>
      </c>
      <c r="U108" s="294">
        <v>313.24</v>
      </c>
    </row>
    <row r="109" spans="1:21" hidden="1" x14ac:dyDescent="0.25">
      <c r="A109" s="291">
        <v>1172015</v>
      </c>
      <c r="B109" s="290" t="s">
        <v>185</v>
      </c>
      <c r="C109" s="292">
        <v>42514</v>
      </c>
      <c r="D109" s="292">
        <v>42514</v>
      </c>
      <c r="E109" s="290" t="s">
        <v>222</v>
      </c>
      <c r="F109" s="290" t="s">
        <v>192</v>
      </c>
      <c r="G109" s="290" t="s">
        <v>180</v>
      </c>
      <c r="H109" s="290" t="s">
        <v>181</v>
      </c>
      <c r="I109" s="290" t="s">
        <v>182</v>
      </c>
      <c r="J109" s="290" t="s">
        <v>183</v>
      </c>
      <c r="K109" s="290" t="s">
        <v>183</v>
      </c>
      <c r="L109" s="293">
        <v>0</v>
      </c>
      <c r="M109" s="293">
        <v>0</v>
      </c>
      <c r="N109" s="293">
        <v>28.173999999999999</v>
      </c>
      <c r="O109" s="290" t="s">
        <v>184</v>
      </c>
      <c r="P109" s="293">
        <v>57.25</v>
      </c>
      <c r="Q109" s="294">
        <v>423.78</v>
      </c>
      <c r="R109" s="294">
        <v>128.44999999999999</v>
      </c>
      <c r="S109" s="294">
        <v>0</v>
      </c>
      <c r="T109" s="294">
        <v>0</v>
      </c>
      <c r="U109" s="294">
        <v>552.23</v>
      </c>
    </row>
    <row r="110" spans="1:21" hidden="1" x14ac:dyDescent="0.25">
      <c r="A110" s="291">
        <v>1169071</v>
      </c>
      <c r="B110" s="290" t="s">
        <v>185</v>
      </c>
      <c r="C110" s="292">
        <v>42501</v>
      </c>
      <c r="D110" s="292">
        <v>42501</v>
      </c>
      <c r="E110" s="290" t="s">
        <v>186</v>
      </c>
      <c r="F110" s="290" t="s">
        <v>192</v>
      </c>
      <c r="G110" s="290" t="s">
        <v>180</v>
      </c>
      <c r="H110" s="290" t="s">
        <v>181</v>
      </c>
      <c r="I110" s="290" t="s">
        <v>182</v>
      </c>
      <c r="J110" s="290" t="s">
        <v>183</v>
      </c>
      <c r="K110" s="290" t="s">
        <v>183</v>
      </c>
      <c r="L110" s="293">
        <v>0</v>
      </c>
      <c r="M110" s="293">
        <v>0</v>
      </c>
      <c r="N110" s="293">
        <v>28.173999999999999</v>
      </c>
      <c r="O110" s="290" t="s">
        <v>184</v>
      </c>
      <c r="P110" s="293">
        <v>12</v>
      </c>
      <c r="Q110" s="294">
        <v>60.54</v>
      </c>
      <c r="R110" s="294">
        <v>17.77</v>
      </c>
      <c r="S110" s="294">
        <v>0</v>
      </c>
      <c r="T110" s="294">
        <v>0</v>
      </c>
      <c r="U110" s="294">
        <v>78.31</v>
      </c>
    </row>
    <row r="111" spans="1:21" hidden="1" x14ac:dyDescent="0.25">
      <c r="A111" s="291">
        <v>1168746</v>
      </c>
      <c r="B111" s="290" t="s">
        <v>185</v>
      </c>
      <c r="C111" s="292">
        <v>42500</v>
      </c>
      <c r="D111" s="292">
        <v>42500</v>
      </c>
      <c r="E111" s="290" t="s">
        <v>222</v>
      </c>
      <c r="F111" s="290" t="s">
        <v>192</v>
      </c>
      <c r="G111" s="290" t="s">
        <v>180</v>
      </c>
      <c r="H111" s="290" t="s">
        <v>181</v>
      </c>
      <c r="I111" s="290" t="s">
        <v>182</v>
      </c>
      <c r="J111" s="290" t="s">
        <v>183</v>
      </c>
      <c r="K111" s="290" t="s">
        <v>183</v>
      </c>
      <c r="L111" s="293">
        <v>0</v>
      </c>
      <c r="M111" s="293">
        <v>0</v>
      </c>
      <c r="N111" s="293">
        <v>28.173999999999999</v>
      </c>
      <c r="O111" s="290" t="s">
        <v>184</v>
      </c>
      <c r="P111" s="293">
        <v>0</v>
      </c>
      <c r="Q111" s="294">
        <v>0</v>
      </c>
      <c r="R111" s="294">
        <v>0</v>
      </c>
      <c r="S111" s="294">
        <v>0</v>
      </c>
      <c r="T111" s="294">
        <v>0</v>
      </c>
      <c r="U111" s="294">
        <v>0</v>
      </c>
    </row>
    <row r="112" spans="1:21" hidden="1" x14ac:dyDescent="0.25">
      <c r="A112" s="291">
        <v>1168746</v>
      </c>
      <c r="B112" s="290" t="s">
        <v>185</v>
      </c>
      <c r="C112" s="292">
        <v>42500</v>
      </c>
      <c r="D112" s="292">
        <v>42500</v>
      </c>
      <c r="E112" s="290" t="s">
        <v>222</v>
      </c>
      <c r="F112" s="290" t="s">
        <v>192</v>
      </c>
      <c r="G112" s="290" t="s">
        <v>207</v>
      </c>
      <c r="H112" s="290" t="s">
        <v>181</v>
      </c>
      <c r="I112" s="290" t="s">
        <v>182</v>
      </c>
      <c r="J112" s="290" t="s">
        <v>183</v>
      </c>
      <c r="K112" s="290" t="s">
        <v>183</v>
      </c>
      <c r="L112" s="293">
        <v>0</v>
      </c>
      <c r="M112" s="293">
        <v>29.643999999999998</v>
      </c>
      <c r="N112" s="293">
        <v>38.479999999999997</v>
      </c>
      <c r="O112" s="290" t="s">
        <v>184</v>
      </c>
      <c r="P112" s="293">
        <v>0</v>
      </c>
      <c r="Q112" s="294">
        <v>0</v>
      </c>
      <c r="R112" s="294">
        <v>0</v>
      </c>
      <c r="S112" s="294">
        <v>0</v>
      </c>
      <c r="T112" s="294">
        <v>0</v>
      </c>
      <c r="U112" s="294">
        <v>0</v>
      </c>
    </row>
    <row r="113" spans="1:21" hidden="1" x14ac:dyDescent="0.25">
      <c r="A113" s="291">
        <v>1168342</v>
      </c>
      <c r="B113" s="290" t="s">
        <v>185</v>
      </c>
      <c r="C113" s="292">
        <v>42499</v>
      </c>
      <c r="D113" s="292">
        <v>42499</v>
      </c>
      <c r="E113" s="290" t="s">
        <v>222</v>
      </c>
      <c r="F113" s="290" t="s">
        <v>192</v>
      </c>
      <c r="G113" s="290" t="s">
        <v>180</v>
      </c>
      <c r="H113" s="290" t="s">
        <v>181</v>
      </c>
      <c r="I113" s="290" t="s">
        <v>182</v>
      </c>
      <c r="J113" s="290" t="s">
        <v>183</v>
      </c>
      <c r="K113" s="290" t="s">
        <v>183</v>
      </c>
      <c r="L113" s="293">
        <v>0</v>
      </c>
      <c r="M113" s="293">
        <v>0</v>
      </c>
      <c r="N113" s="293">
        <v>28.173999999999999</v>
      </c>
      <c r="O113" s="290" t="s">
        <v>184</v>
      </c>
      <c r="P113" s="293">
        <v>100</v>
      </c>
      <c r="Q113" s="294">
        <v>211.89</v>
      </c>
      <c r="R113" s="294">
        <v>62.2</v>
      </c>
      <c r="S113" s="294">
        <v>0</v>
      </c>
      <c r="T113" s="294">
        <v>0</v>
      </c>
      <c r="U113" s="294">
        <v>274.08999999999997</v>
      </c>
    </row>
    <row r="114" spans="1:21" hidden="1" x14ac:dyDescent="0.25">
      <c r="A114" s="291">
        <v>1168342</v>
      </c>
      <c r="B114" s="290" t="s">
        <v>185</v>
      </c>
      <c r="C114" s="292">
        <v>42499</v>
      </c>
      <c r="D114" s="292">
        <v>42499</v>
      </c>
      <c r="E114" s="290" t="s">
        <v>222</v>
      </c>
      <c r="F114" s="290" t="s">
        <v>192</v>
      </c>
      <c r="G114" s="290" t="s">
        <v>207</v>
      </c>
      <c r="H114" s="290" t="s">
        <v>181</v>
      </c>
      <c r="I114" s="290" t="s">
        <v>182</v>
      </c>
      <c r="J114" s="290" t="s">
        <v>183</v>
      </c>
      <c r="K114" s="290" t="s">
        <v>183</v>
      </c>
      <c r="L114" s="293">
        <v>0</v>
      </c>
      <c r="M114" s="293">
        <v>29.643999999999998</v>
      </c>
      <c r="N114" s="293">
        <v>38.479999999999997</v>
      </c>
      <c r="O114" s="290" t="s">
        <v>184</v>
      </c>
      <c r="P114" s="293">
        <v>100</v>
      </c>
      <c r="Q114" s="294">
        <v>211.89</v>
      </c>
      <c r="R114" s="294">
        <v>62.2</v>
      </c>
      <c r="S114" s="294">
        <v>0</v>
      </c>
      <c r="T114" s="294">
        <v>0</v>
      </c>
      <c r="U114" s="294">
        <v>274.08999999999997</v>
      </c>
    </row>
    <row r="115" spans="1:21" hidden="1" x14ac:dyDescent="0.25">
      <c r="A115" s="291">
        <v>1167316</v>
      </c>
      <c r="B115" s="290" t="s">
        <v>185</v>
      </c>
      <c r="C115" s="292">
        <v>42494</v>
      </c>
      <c r="D115" s="292">
        <v>42494</v>
      </c>
      <c r="E115" s="290" t="s">
        <v>186</v>
      </c>
      <c r="F115" s="290" t="s">
        <v>192</v>
      </c>
      <c r="G115" s="290" t="s">
        <v>180</v>
      </c>
      <c r="H115" s="290" t="s">
        <v>181</v>
      </c>
      <c r="I115" s="290" t="s">
        <v>182</v>
      </c>
      <c r="J115" s="290" t="s">
        <v>183</v>
      </c>
      <c r="K115" s="290" t="s">
        <v>183</v>
      </c>
      <c r="L115" s="293">
        <v>0</v>
      </c>
      <c r="M115" s="293">
        <v>0</v>
      </c>
      <c r="N115" s="293">
        <v>28.173999999999999</v>
      </c>
      <c r="O115" s="290" t="s">
        <v>184</v>
      </c>
      <c r="P115" s="293">
        <v>15.5</v>
      </c>
      <c r="Q115" s="294">
        <v>121.08</v>
      </c>
      <c r="R115" s="294">
        <v>35.54</v>
      </c>
      <c r="S115" s="294">
        <v>0</v>
      </c>
      <c r="T115" s="294">
        <v>0</v>
      </c>
      <c r="U115" s="294">
        <v>156.62</v>
      </c>
    </row>
    <row r="116" spans="1:21" hidden="1" x14ac:dyDescent="0.25">
      <c r="A116" s="291">
        <v>1166895</v>
      </c>
      <c r="B116" s="290" t="s">
        <v>185</v>
      </c>
      <c r="C116" s="292">
        <v>42493</v>
      </c>
      <c r="D116" s="292">
        <v>42493</v>
      </c>
      <c r="E116" s="290" t="s">
        <v>222</v>
      </c>
      <c r="F116" s="290" t="s">
        <v>192</v>
      </c>
      <c r="G116" s="290" t="s">
        <v>180</v>
      </c>
      <c r="H116" s="290" t="s">
        <v>181</v>
      </c>
      <c r="I116" s="290" t="s">
        <v>182</v>
      </c>
      <c r="J116" s="290" t="s">
        <v>183</v>
      </c>
      <c r="K116" s="290" t="s">
        <v>183</v>
      </c>
      <c r="L116" s="293">
        <v>0</v>
      </c>
      <c r="M116" s="293">
        <v>0</v>
      </c>
      <c r="N116" s="293">
        <v>28.173999999999999</v>
      </c>
      <c r="O116" s="290" t="s">
        <v>184</v>
      </c>
      <c r="P116" s="293">
        <v>106.5</v>
      </c>
      <c r="Q116" s="294">
        <v>605.4</v>
      </c>
      <c r="R116" s="294">
        <v>183.5</v>
      </c>
      <c r="S116" s="294">
        <v>0</v>
      </c>
      <c r="T116" s="294">
        <v>0</v>
      </c>
      <c r="U116" s="294">
        <v>788.9</v>
      </c>
    </row>
    <row r="117" spans="1:21" hidden="1" x14ac:dyDescent="0.25">
      <c r="A117" s="291">
        <v>1166561</v>
      </c>
      <c r="B117" s="290" t="s">
        <v>185</v>
      </c>
      <c r="C117" s="292">
        <v>42492</v>
      </c>
      <c r="D117" s="292">
        <v>42493</v>
      </c>
      <c r="E117" s="290" t="s">
        <v>186</v>
      </c>
      <c r="F117" s="290" t="s">
        <v>192</v>
      </c>
      <c r="G117" s="290" t="s">
        <v>180</v>
      </c>
      <c r="H117" s="290" t="s">
        <v>181</v>
      </c>
      <c r="I117" s="290" t="s">
        <v>182</v>
      </c>
      <c r="J117" s="290" t="s">
        <v>183</v>
      </c>
      <c r="K117" s="290" t="s">
        <v>183</v>
      </c>
      <c r="L117" s="293">
        <v>0</v>
      </c>
      <c r="M117" s="293">
        <v>0</v>
      </c>
      <c r="N117" s="293">
        <v>28.173999999999999</v>
      </c>
      <c r="O117" s="290" t="s">
        <v>184</v>
      </c>
      <c r="P117" s="293">
        <v>13.5</v>
      </c>
      <c r="Q117" s="294">
        <v>121.08</v>
      </c>
      <c r="R117" s="294">
        <v>36.700000000000003</v>
      </c>
      <c r="S117" s="294">
        <v>0</v>
      </c>
      <c r="T117" s="294">
        <v>0</v>
      </c>
      <c r="U117" s="294">
        <v>157.78</v>
      </c>
    </row>
    <row r="118" spans="1:21" hidden="1" x14ac:dyDescent="0.25">
      <c r="A118" s="291">
        <v>1165854</v>
      </c>
      <c r="B118" s="290" t="s">
        <v>185</v>
      </c>
      <c r="C118" s="292">
        <v>42488</v>
      </c>
      <c r="D118" s="292">
        <v>42489</v>
      </c>
      <c r="E118" s="290" t="s">
        <v>186</v>
      </c>
      <c r="F118" s="290" t="s">
        <v>192</v>
      </c>
      <c r="G118" s="290" t="s">
        <v>180</v>
      </c>
      <c r="H118" s="290" t="s">
        <v>181</v>
      </c>
      <c r="I118" s="290" t="s">
        <v>182</v>
      </c>
      <c r="J118" s="290" t="s">
        <v>183</v>
      </c>
      <c r="K118" s="290" t="s">
        <v>183</v>
      </c>
      <c r="L118" s="293">
        <v>0</v>
      </c>
      <c r="M118" s="293">
        <v>0</v>
      </c>
      <c r="N118" s="293">
        <v>28.173999999999999</v>
      </c>
      <c r="O118" s="290" t="s">
        <v>184</v>
      </c>
      <c r="P118" s="293">
        <v>2.25</v>
      </c>
      <c r="Q118" s="294">
        <v>60.54</v>
      </c>
      <c r="R118" s="294">
        <v>18.350000000000001</v>
      </c>
      <c r="S118" s="294">
        <v>0</v>
      </c>
      <c r="T118" s="294">
        <v>0</v>
      </c>
      <c r="U118" s="294">
        <v>78.89</v>
      </c>
    </row>
    <row r="119" spans="1:21" hidden="1" x14ac:dyDescent="0.25">
      <c r="A119" s="291">
        <v>1165469</v>
      </c>
      <c r="B119" s="290" t="s">
        <v>185</v>
      </c>
      <c r="C119" s="292">
        <v>42487</v>
      </c>
      <c r="D119" s="292">
        <v>42487</v>
      </c>
      <c r="E119" s="290" t="s">
        <v>222</v>
      </c>
      <c r="F119" s="290" t="s">
        <v>192</v>
      </c>
      <c r="G119" s="290" t="s">
        <v>180</v>
      </c>
      <c r="H119" s="290" t="s">
        <v>181</v>
      </c>
      <c r="I119" s="290" t="s">
        <v>182</v>
      </c>
      <c r="J119" s="290" t="s">
        <v>183</v>
      </c>
      <c r="K119" s="290" t="s">
        <v>183</v>
      </c>
      <c r="L119" s="293">
        <v>0</v>
      </c>
      <c r="M119" s="293">
        <v>0</v>
      </c>
      <c r="N119" s="293">
        <v>28.173999999999999</v>
      </c>
      <c r="O119" s="290" t="s">
        <v>184</v>
      </c>
      <c r="P119" s="293">
        <v>153.25</v>
      </c>
      <c r="Q119" s="294">
        <v>363.24</v>
      </c>
      <c r="R119" s="294">
        <v>108.36</v>
      </c>
      <c r="S119" s="294">
        <v>0</v>
      </c>
      <c r="T119" s="294">
        <v>0</v>
      </c>
      <c r="U119" s="294">
        <v>471.6</v>
      </c>
    </row>
    <row r="120" spans="1:21" hidden="1" x14ac:dyDescent="0.25">
      <c r="A120" s="291">
        <v>1165469</v>
      </c>
      <c r="B120" s="290" t="s">
        <v>185</v>
      </c>
      <c r="C120" s="292">
        <v>42487</v>
      </c>
      <c r="D120" s="292">
        <v>42487</v>
      </c>
      <c r="E120" s="290" t="s">
        <v>222</v>
      </c>
      <c r="F120" s="290" t="s">
        <v>192</v>
      </c>
      <c r="G120" s="290" t="s">
        <v>207</v>
      </c>
      <c r="H120" s="290" t="s">
        <v>181</v>
      </c>
      <c r="I120" s="290" t="s">
        <v>182</v>
      </c>
      <c r="J120" s="290" t="s">
        <v>183</v>
      </c>
      <c r="K120" s="290" t="s">
        <v>183</v>
      </c>
      <c r="L120" s="293">
        <v>0</v>
      </c>
      <c r="M120" s="293">
        <v>29.643999999999998</v>
      </c>
      <c r="N120" s="293">
        <v>38.479999999999997</v>
      </c>
      <c r="O120" s="290" t="s">
        <v>184</v>
      </c>
      <c r="P120" s="293">
        <v>153.25</v>
      </c>
      <c r="Q120" s="294">
        <v>363.24</v>
      </c>
      <c r="R120" s="294">
        <v>108.36</v>
      </c>
      <c r="S120" s="294">
        <v>0</v>
      </c>
      <c r="T120" s="294">
        <v>0</v>
      </c>
      <c r="U120" s="294">
        <v>471.6</v>
      </c>
    </row>
    <row r="121" spans="1:21" hidden="1" x14ac:dyDescent="0.25">
      <c r="A121" s="291">
        <v>1165172</v>
      </c>
      <c r="B121" s="290" t="s">
        <v>185</v>
      </c>
      <c r="C121" s="292">
        <v>42486</v>
      </c>
      <c r="D121" s="292">
        <v>42486</v>
      </c>
      <c r="E121" s="290" t="s">
        <v>222</v>
      </c>
      <c r="F121" s="290" t="s">
        <v>192</v>
      </c>
      <c r="G121" s="290" t="s">
        <v>180</v>
      </c>
      <c r="H121" s="290" t="s">
        <v>181</v>
      </c>
      <c r="I121" s="290" t="s">
        <v>182</v>
      </c>
      <c r="J121" s="290" t="s">
        <v>183</v>
      </c>
      <c r="K121" s="290" t="s">
        <v>183</v>
      </c>
      <c r="L121" s="293">
        <v>0</v>
      </c>
      <c r="M121" s="293">
        <v>0</v>
      </c>
      <c r="N121" s="293">
        <v>28.173999999999999</v>
      </c>
      <c r="O121" s="290" t="s">
        <v>184</v>
      </c>
      <c r="P121" s="293">
        <v>366.25</v>
      </c>
      <c r="Q121" s="294">
        <v>1089.72</v>
      </c>
      <c r="R121" s="294">
        <v>325.08</v>
      </c>
      <c r="S121" s="294">
        <v>0</v>
      </c>
      <c r="T121" s="294">
        <v>0</v>
      </c>
      <c r="U121" s="294">
        <v>1414.8</v>
      </c>
    </row>
    <row r="122" spans="1:21" hidden="1" x14ac:dyDescent="0.25">
      <c r="A122" s="291">
        <v>1159819</v>
      </c>
      <c r="B122" s="290" t="s">
        <v>185</v>
      </c>
      <c r="C122" s="292">
        <v>42465</v>
      </c>
      <c r="D122" s="292">
        <v>42465</v>
      </c>
      <c r="E122" s="290" t="s">
        <v>186</v>
      </c>
      <c r="F122" s="290" t="s">
        <v>192</v>
      </c>
      <c r="G122" s="290" t="s">
        <v>207</v>
      </c>
      <c r="H122" s="290" t="s">
        <v>181</v>
      </c>
      <c r="I122" s="290" t="s">
        <v>182</v>
      </c>
      <c r="J122" s="290" t="s">
        <v>183</v>
      </c>
      <c r="K122" s="290" t="s">
        <v>183</v>
      </c>
      <c r="L122" s="293">
        <v>0</v>
      </c>
      <c r="M122" s="293">
        <v>29.643999999999998</v>
      </c>
      <c r="N122" s="293">
        <v>38.479999999999997</v>
      </c>
      <c r="O122" s="290" t="s">
        <v>184</v>
      </c>
      <c r="P122" s="293">
        <v>0</v>
      </c>
      <c r="Q122" s="294">
        <v>0</v>
      </c>
      <c r="R122" s="294">
        <v>0</v>
      </c>
      <c r="S122" s="294">
        <v>0</v>
      </c>
      <c r="T122" s="294">
        <v>0</v>
      </c>
      <c r="U122" s="294">
        <v>0</v>
      </c>
    </row>
    <row r="123" spans="1:21" hidden="1" x14ac:dyDescent="0.25">
      <c r="A123" s="291">
        <v>1157201</v>
      </c>
      <c r="B123" s="290" t="s">
        <v>177</v>
      </c>
      <c r="C123" s="292">
        <v>42453</v>
      </c>
      <c r="D123" s="292">
        <v>42460</v>
      </c>
      <c r="E123" s="290" t="s">
        <v>190</v>
      </c>
      <c r="F123" s="290" t="s">
        <v>209</v>
      </c>
      <c r="G123" s="290" t="s">
        <v>180</v>
      </c>
      <c r="H123" s="290" t="s">
        <v>181</v>
      </c>
      <c r="I123" s="290" t="s">
        <v>182</v>
      </c>
      <c r="J123" s="290" t="s">
        <v>183</v>
      </c>
      <c r="K123" s="290" t="s">
        <v>183</v>
      </c>
      <c r="L123" s="293">
        <v>0</v>
      </c>
      <c r="M123" s="293">
        <v>0</v>
      </c>
      <c r="N123" s="293">
        <v>28.173999999999999</v>
      </c>
      <c r="O123" s="290" t="s">
        <v>184</v>
      </c>
      <c r="P123" s="293">
        <v>0.6</v>
      </c>
      <c r="Q123" s="294">
        <v>1386.46</v>
      </c>
      <c r="R123" s="294">
        <v>769.24</v>
      </c>
      <c r="S123" s="294">
        <v>317.60000000000002</v>
      </c>
      <c r="T123" s="294">
        <v>0</v>
      </c>
      <c r="U123" s="294">
        <v>2473.3000000000002</v>
      </c>
    </row>
    <row r="124" spans="1:21" hidden="1" x14ac:dyDescent="0.25">
      <c r="A124" s="291">
        <v>1155238</v>
      </c>
      <c r="B124" s="290" t="s">
        <v>177</v>
      </c>
      <c r="C124" s="292">
        <v>42447</v>
      </c>
      <c r="D124" s="292">
        <v>42447</v>
      </c>
      <c r="E124" s="290" t="s">
        <v>190</v>
      </c>
      <c r="F124" s="290" t="s">
        <v>204</v>
      </c>
      <c r="G124" s="290" t="s">
        <v>215</v>
      </c>
      <c r="H124" s="290" t="s">
        <v>181</v>
      </c>
      <c r="I124" s="290" t="s">
        <v>194</v>
      </c>
      <c r="J124" s="290" t="s">
        <v>183</v>
      </c>
      <c r="K124" s="290" t="s">
        <v>183</v>
      </c>
      <c r="L124" s="293">
        <v>0</v>
      </c>
      <c r="M124" s="293">
        <v>0</v>
      </c>
      <c r="N124" s="293">
        <v>3.4409999999999998</v>
      </c>
      <c r="O124" s="290" t="s">
        <v>184</v>
      </c>
      <c r="P124" s="293">
        <v>1</v>
      </c>
      <c r="Q124" s="294">
        <v>786.4</v>
      </c>
      <c r="R124" s="294">
        <v>394.07</v>
      </c>
      <c r="S124" s="294">
        <v>0</v>
      </c>
      <c r="T124" s="294">
        <v>26.97</v>
      </c>
      <c r="U124" s="294">
        <v>1207.44</v>
      </c>
    </row>
    <row r="125" spans="1:21" hidden="1" x14ac:dyDescent="0.25">
      <c r="A125" s="291">
        <v>1155180</v>
      </c>
      <c r="B125" s="290" t="s">
        <v>185</v>
      </c>
      <c r="C125" s="292">
        <v>42446</v>
      </c>
      <c r="D125" s="292">
        <v>42446</v>
      </c>
      <c r="E125" s="290" t="s">
        <v>222</v>
      </c>
      <c r="F125" s="290" t="s">
        <v>192</v>
      </c>
      <c r="G125" s="290" t="s">
        <v>207</v>
      </c>
      <c r="H125" s="290" t="s">
        <v>181</v>
      </c>
      <c r="I125" s="290" t="s">
        <v>182</v>
      </c>
      <c r="J125" s="290" t="s">
        <v>183</v>
      </c>
      <c r="K125" s="290" t="s">
        <v>183</v>
      </c>
      <c r="L125" s="293">
        <v>0</v>
      </c>
      <c r="M125" s="293">
        <v>29.643999999999998</v>
      </c>
      <c r="N125" s="293">
        <v>38.479999999999997</v>
      </c>
      <c r="O125" s="290" t="s">
        <v>184</v>
      </c>
      <c r="P125" s="293">
        <v>164.5</v>
      </c>
      <c r="Q125" s="294">
        <v>1030.8800000000001</v>
      </c>
      <c r="R125" s="294">
        <v>307.31</v>
      </c>
      <c r="S125" s="294">
        <v>0</v>
      </c>
      <c r="T125" s="294">
        <v>0</v>
      </c>
      <c r="U125" s="294">
        <v>1338.19</v>
      </c>
    </row>
    <row r="126" spans="1:21" hidden="1" x14ac:dyDescent="0.25">
      <c r="A126" s="291">
        <v>1154690</v>
      </c>
      <c r="B126" s="290" t="s">
        <v>185</v>
      </c>
      <c r="C126" s="292">
        <v>42445</v>
      </c>
      <c r="D126" s="292">
        <v>42445</v>
      </c>
      <c r="E126" s="290" t="s">
        <v>222</v>
      </c>
      <c r="F126" s="290" t="s">
        <v>192</v>
      </c>
      <c r="G126" s="290" t="s">
        <v>207</v>
      </c>
      <c r="H126" s="290" t="s">
        <v>181</v>
      </c>
      <c r="I126" s="290" t="s">
        <v>182</v>
      </c>
      <c r="J126" s="290" t="s">
        <v>183</v>
      </c>
      <c r="K126" s="290" t="s">
        <v>183</v>
      </c>
      <c r="L126" s="293">
        <v>0</v>
      </c>
      <c r="M126" s="293">
        <v>29.643999999999998</v>
      </c>
      <c r="N126" s="293">
        <v>38.479999999999997</v>
      </c>
      <c r="O126" s="290" t="s">
        <v>184</v>
      </c>
      <c r="P126" s="293">
        <v>165</v>
      </c>
      <c r="Q126" s="294">
        <v>970.24</v>
      </c>
      <c r="R126" s="294">
        <v>288.95999999999998</v>
      </c>
      <c r="S126" s="294">
        <v>0</v>
      </c>
      <c r="T126" s="294">
        <v>0</v>
      </c>
      <c r="U126" s="294">
        <v>1259.2</v>
      </c>
    </row>
    <row r="127" spans="1:21" hidden="1" x14ac:dyDescent="0.25">
      <c r="A127" s="291">
        <v>1152906</v>
      </c>
      <c r="B127" s="290" t="s">
        <v>185</v>
      </c>
      <c r="C127" s="292">
        <v>42439</v>
      </c>
      <c r="D127" s="292">
        <v>42439</v>
      </c>
      <c r="E127" s="290" t="s">
        <v>222</v>
      </c>
      <c r="F127" s="290" t="s">
        <v>192</v>
      </c>
      <c r="G127" s="290" t="s">
        <v>180</v>
      </c>
      <c r="H127" s="290" t="s">
        <v>181</v>
      </c>
      <c r="I127" s="290" t="s">
        <v>182</v>
      </c>
      <c r="J127" s="290" t="s">
        <v>183</v>
      </c>
      <c r="K127" s="290" t="s">
        <v>183</v>
      </c>
      <c r="L127" s="293">
        <v>0</v>
      </c>
      <c r="M127" s="293">
        <v>0</v>
      </c>
      <c r="N127" s="293">
        <v>28.173999999999999</v>
      </c>
      <c r="O127" s="290" t="s">
        <v>184</v>
      </c>
      <c r="P127" s="293">
        <v>14</v>
      </c>
      <c r="Q127" s="294">
        <v>303.2</v>
      </c>
      <c r="R127" s="294">
        <v>88.85</v>
      </c>
      <c r="S127" s="294">
        <v>0</v>
      </c>
      <c r="T127" s="294">
        <v>0</v>
      </c>
      <c r="U127" s="294">
        <v>392.05</v>
      </c>
    </row>
    <row r="128" spans="1:21" hidden="1" x14ac:dyDescent="0.25">
      <c r="A128" s="291">
        <v>1152048</v>
      </c>
      <c r="B128" s="290" t="s">
        <v>185</v>
      </c>
      <c r="C128" s="292">
        <v>42437</v>
      </c>
      <c r="D128" s="292">
        <v>42437</v>
      </c>
      <c r="E128" s="290" t="s">
        <v>222</v>
      </c>
      <c r="F128" s="290" t="s">
        <v>192</v>
      </c>
      <c r="G128" s="290" t="s">
        <v>180</v>
      </c>
      <c r="H128" s="290" t="s">
        <v>181</v>
      </c>
      <c r="I128" s="290" t="s">
        <v>182</v>
      </c>
      <c r="J128" s="290" t="s">
        <v>183</v>
      </c>
      <c r="K128" s="290" t="s">
        <v>183</v>
      </c>
      <c r="L128" s="293">
        <v>0</v>
      </c>
      <c r="M128" s="293">
        <v>0</v>
      </c>
      <c r="N128" s="293">
        <v>28.173999999999999</v>
      </c>
      <c r="O128" s="290" t="s">
        <v>184</v>
      </c>
      <c r="P128" s="293">
        <v>64</v>
      </c>
      <c r="Q128" s="294">
        <v>363.84</v>
      </c>
      <c r="R128" s="294">
        <v>106.62</v>
      </c>
      <c r="S128" s="294">
        <v>0</v>
      </c>
      <c r="T128" s="294">
        <v>0</v>
      </c>
      <c r="U128" s="294">
        <v>470.46</v>
      </c>
    </row>
    <row r="129" spans="1:21" hidden="1" x14ac:dyDescent="0.25">
      <c r="A129" s="291">
        <v>1151559</v>
      </c>
      <c r="B129" s="290" t="s">
        <v>185</v>
      </c>
      <c r="C129" s="292">
        <v>42436</v>
      </c>
      <c r="D129" s="292">
        <v>42436</v>
      </c>
      <c r="E129" s="290" t="s">
        <v>186</v>
      </c>
      <c r="F129" s="290" t="s">
        <v>192</v>
      </c>
      <c r="G129" s="290" t="s">
        <v>180</v>
      </c>
      <c r="H129" s="290" t="s">
        <v>181</v>
      </c>
      <c r="I129" s="290" t="s">
        <v>182</v>
      </c>
      <c r="J129" s="290" t="s">
        <v>183</v>
      </c>
      <c r="K129" s="290" t="s">
        <v>183</v>
      </c>
      <c r="L129" s="293">
        <v>0</v>
      </c>
      <c r="M129" s="293">
        <v>0</v>
      </c>
      <c r="N129" s="293">
        <v>28.173999999999999</v>
      </c>
      <c r="O129" s="290" t="s">
        <v>184</v>
      </c>
      <c r="P129" s="293">
        <v>7.3</v>
      </c>
      <c r="Q129" s="294">
        <v>121.28</v>
      </c>
      <c r="R129" s="294">
        <v>35.54</v>
      </c>
      <c r="S129" s="294">
        <v>0</v>
      </c>
      <c r="T129" s="294">
        <v>0</v>
      </c>
      <c r="U129" s="294">
        <v>156.82</v>
      </c>
    </row>
    <row r="130" spans="1:21" hidden="1" x14ac:dyDescent="0.25">
      <c r="A130" s="291">
        <v>1150190</v>
      </c>
      <c r="B130" s="290" t="s">
        <v>185</v>
      </c>
      <c r="C130" s="292">
        <v>42431</v>
      </c>
      <c r="D130" s="292">
        <v>42431</v>
      </c>
      <c r="E130" s="290" t="s">
        <v>222</v>
      </c>
      <c r="F130" s="290" t="s">
        <v>192</v>
      </c>
      <c r="G130" s="290" t="s">
        <v>180</v>
      </c>
      <c r="H130" s="290" t="s">
        <v>181</v>
      </c>
      <c r="I130" s="290" t="s">
        <v>182</v>
      </c>
      <c r="J130" s="290" t="s">
        <v>183</v>
      </c>
      <c r="K130" s="290" t="s">
        <v>183</v>
      </c>
      <c r="L130" s="293">
        <v>0</v>
      </c>
      <c r="M130" s="293">
        <v>0</v>
      </c>
      <c r="N130" s="293">
        <v>28.173999999999999</v>
      </c>
      <c r="O130" s="290" t="s">
        <v>184</v>
      </c>
      <c r="P130" s="293">
        <v>186</v>
      </c>
      <c r="Q130" s="294">
        <v>970.24</v>
      </c>
      <c r="R130" s="294">
        <v>142.16</v>
      </c>
      <c r="S130" s="294">
        <v>0</v>
      </c>
      <c r="T130" s="294">
        <v>0</v>
      </c>
      <c r="U130" s="294">
        <v>1112.4000000000001</v>
      </c>
    </row>
    <row r="131" spans="1:21" hidden="1" x14ac:dyDescent="0.25">
      <c r="A131" s="291">
        <v>1149890</v>
      </c>
      <c r="B131" s="290" t="s">
        <v>185</v>
      </c>
      <c r="C131" s="292">
        <v>42431</v>
      </c>
      <c r="D131" s="292">
        <v>42431</v>
      </c>
      <c r="E131" s="290" t="s">
        <v>222</v>
      </c>
      <c r="F131" s="290" t="s">
        <v>192</v>
      </c>
      <c r="G131" s="290" t="s">
        <v>180</v>
      </c>
      <c r="H131" s="290" t="s">
        <v>181</v>
      </c>
      <c r="I131" s="290" t="s">
        <v>182</v>
      </c>
      <c r="J131" s="290" t="s">
        <v>183</v>
      </c>
      <c r="K131" s="290" t="s">
        <v>183</v>
      </c>
      <c r="L131" s="293">
        <v>0</v>
      </c>
      <c r="M131" s="293">
        <v>0</v>
      </c>
      <c r="N131" s="293">
        <v>28.173999999999999</v>
      </c>
      <c r="O131" s="290" t="s">
        <v>184</v>
      </c>
      <c r="P131" s="293">
        <v>0</v>
      </c>
      <c r="Q131" s="294">
        <v>0</v>
      </c>
      <c r="R131" s="294">
        <v>0</v>
      </c>
      <c r="S131" s="294">
        <v>0</v>
      </c>
      <c r="T131" s="294">
        <v>0</v>
      </c>
      <c r="U131" s="294">
        <v>0</v>
      </c>
    </row>
    <row r="132" spans="1:21" hidden="1" x14ac:dyDescent="0.25">
      <c r="A132" s="291">
        <v>1149814</v>
      </c>
      <c r="B132" s="290" t="s">
        <v>185</v>
      </c>
      <c r="C132" s="292">
        <v>42430</v>
      </c>
      <c r="D132" s="292">
        <v>42430</v>
      </c>
      <c r="E132" s="290" t="s">
        <v>186</v>
      </c>
      <c r="F132" s="290" t="s">
        <v>192</v>
      </c>
      <c r="G132" s="290" t="s">
        <v>180</v>
      </c>
      <c r="H132" s="290" t="s">
        <v>181</v>
      </c>
      <c r="I132" s="290" t="s">
        <v>182</v>
      </c>
      <c r="J132" s="290" t="s">
        <v>183</v>
      </c>
      <c r="K132" s="290" t="s">
        <v>183</v>
      </c>
      <c r="L132" s="293">
        <v>0</v>
      </c>
      <c r="M132" s="293">
        <v>0</v>
      </c>
      <c r="N132" s="293">
        <v>28.173999999999999</v>
      </c>
      <c r="O132" s="290" t="s">
        <v>184</v>
      </c>
      <c r="P132" s="293">
        <v>54</v>
      </c>
      <c r="Q132" s="294">
        <v>485.12</v>
      </c>
      <c r="R132" s="294">
        <v>146.80000000000001</v>
      </c>
      <c r="S132" s="294">
        <v>0</v>
      </c>
      <c r="T132" s="294">
        <v>0</v>
      </c>
      <c r="U132" s="294">
        <v>631.91999999999996</v>
      </c>
    </row>
    <row r="133" spans="1:21" hidden="1" x14ac:dyDescent="0.25">
      <c r="A133" s="291">
        <v>1148107</v>
      </c>
      <c r="B133" s="290" t="s">
        <v>185</v>
      </c>
      <c r="C133" s="292">
        <v>42424</v>
      </c>
      <c r="D133" s="292">
        <v>42424</v>
      </c>
      <c r="E133" s="290" t="s">
        <v>222</v>
      </c>
      <c r="F133" s="290" t="s">
        <v>192</v>
      </c>
      <c r="G133" s="290" t="s">
        <v>180</v>
      </c>
      <c r="H133" s="290" t="s">
        <v>181</v>
      </c>
      <c r="I133" s="290" t="s">
        <v>182</v>
      </c>
      <c r="J133" s="290" t="s">
        <v>183</v>
      </c>
      <c r="K133" s="290" t="s">
        <v>183</v>
      </c>
      <c r="L133" s="293">
        <v>0</v>
      </c>
      <c r="M133" s="293">
        <v>0</v>
      </c>
      <c r="N133" s="293">
        <v>28.173999999999999</v>
      </c>
      <c r="O133" s="290" t="s">
        <v>184</v>
      </c>
      <c r="P133" s="293">
        <v>60</v>
      </c>
      <c r="Q133" s="294">
        <v>121.28</v>
      </c>
      <c r="R133" s="294">
        <v>29.78</v>
      </c>
      <c r="S133" s="294">
        <v>0</v>
      </c>
      <c r="T133" s="294">
        <v>0</v>
      </c>
      <c r="U133" s="294">
        <v>151.06</v>
      </c>
    </row>
    <row r="134" spans="1:21" hidden="1" x14ac:dyDescent="0.25">
      <c r="A134" s="291">
        <v>1147788</v>
      </c>
      <c r="B134" s="290" t="s">
        <v>185</v>
      </c>
      <c r="C134" s="292">
        <v>42422</v>
      </c>
      <c r="D134" s="292">
        <v>42422</v>
      </c>
      <c r="E134" s="290" t="s">
        <v>222</v>
      </c>
      <c r="F134" s="290" t="s">
        <v>192</v>
      </c>
      <c r="G134" s="290" t="s">
        <v>180</v>
      </c>
      <c r="H134" s="290" t="s">
        <v>181</v>
      </c>
      <c r="I134" s="290" t="s">
        <v>182</v>
      </c>
      <c r="J134" s="290" t="s">
        <v>183</v>
      </c>
      <c r="K134" s="290" t="s">
        <v>183</v>
      </c>
      <c r="L134" s="293">
        <v>0</v>
      </c>
      <c r="M134" s="293">
        <v>0</v>
      </c>
      <c r="N134" s="293">
        <v>28.173999999999999</v>
      </c>
      <c r="O134" s="290" t="s">
        <v>184</v>
      </c>
      <c r="P134" s="293">
        <v>132.5</v>
      </c>
      <c r="Q134" s="294">
        <v>485.12</v>
      </c>
      <c r="R134" s="294">
        <v>119.12</v>
      </c>
      <c r="S134" s="294">
        <v>0</v>
      </c>
      <c r="T134" s="294">
        <v>0</v>
      </c>
      <c r="U134" s="294">
        <v>604.24</v>
      </c>
    </row>
    <row r="135" spans="1:21" hidden="1" x14ac:dyDescent="0.25">
      <c r="A135" s="291">
        <v>1147787</v>
      </c>
      <c r="B135" s="290" t="s">
        <v>185</v>
      </c>
      <c r="C135" s="292">
        <v>42422</v>
      </c>
      <c r="D135" s="292">
        <v>42422</v>
      </c>
      <c r="E135" s="290" t="s">
        <v>222</v>
      </c>
      <c r="F135" s="290" t="s">
        <v>192</v>
      </c>
      <c r="G135" s="290" t="s">
        <v>180</v>
      </c>
      <c r="H135" s="290" t="s">
        <v>181</v>
      </c>
      <c r="I135" s="290" t="s">
        <v>182</v>
      </c>
      <c r="J135" s="290" t="s">
        <v>183</v>
      </c>
      <c r="K135" s="290" t="s">
        <v>183</v>
      </c>
      <c r="L135" s="293">
        <v>0</v>
      </c>
      <c r="M135" s="293">
        <v>0</v>
      </c>
      <c r="N135" s="293">
        <v>28.173999999999999</v>
      </c>
      <c r="O135" s="290" t="s">
        <v>184</v>
      </c>
      <c r="P135" s="293">
        <v>132.5</v>
      </c>
      <c r="Q135" s="294">
        <v>485.12</v>
      </c>
      <c r="R135" s="294">
        <v>146.80000000000001</v>
      </c>
      <c r="S135" s="294">
        <v>0</v>
      </c>
      <c r="T135" s="294">
        <v>0</v>
      </c>
      <c r="U135" s="294">
        <v>631.91999999999996</v>
      </c>
    </row>
    <row r="136" spans="1:21" hidden="1" x14ac:dyDescent="0.25">
      <c r="A136" s="291">
        <v>1142027</v>
      </c>
      <c r="B136" s="290" t="s">
        <v>185</v>
      </c>
      <c r="C136" s="292">
        <v>42397</v>
      </c>
      <c r="D136" s="292">
        <v>42397</v>
      </c>
      <c r="E136" s="290" t="s">
        <v>225</v>
      </c>
      <c r="F136" s="290" t="s">
        <v>192</v>
      </c>
      <c r="G136" s="290" t="s">
        <v>180</v>
      </c>
      <c r="H136" s="290" t="s">
        <v>197</v>
      </c>
      <c r="I136" s="290" t="s">
        <v>182</v>
      </c>
      <c r="J136" s="290" t="s">
        <v>183</v>
      </c>
      <c r="K136" s="290" t="s">
        <v>183</v>
      </c>
      <c r="L136" s="293">
        <v>0</v>
      </c>
      <c r="M136" s="293">
        <v>0</v>
      </c>
      <c r="N136" s="293">
        <v>28.173999999999999</v>
      </c>
      <c r="O136" s="290" t="s">
        <v>184</v>
      </c>
      <c r="P136" s="293">
        <v>4</v>
      </c>
      <c r="Q136" s="294">
        <v>121.28</v>
      </c>
      <c r="R136" s="294">
        <v>29.78</v>
      </c>
      <c r="S136" s="294">
        <v>0</v>
      </c>
      <c r="T136" s="294">
        <v>0</v>
      </c>
      <c r="U136" s="294">
        <v>151.06</v>
      </c>
    </row>
    <row r="137" spans="1:21" hidden="1" x14ac:dyDescent="0.25">
      <c r="A137" s="291">
        <v>1137045</v>
      </c>
      <c r="B137" s="290" t="s">
        <v>177</v>
      </c>
      <c r="C137" s="292">
        <v>42375</v>
      </c>
      <c r="D137" s="292">
        <v>42375</v>
      </c>
      <c r="E137" s="290" t="s">
        <v>190</v>
      </c>
      <c r="F137" s="290" t="s">
        <v>199</v>
      </c>
      <c r="G137" s="290" t="s">
        <v>180</v>
      </c>
      <c r="H137" s="290" t="s">
        <v>181</v>
      </c>
      <c r="I137" s="290" t="s">
        <v>182</v>
      </c>
      <c r="J137" s="290" t="s">
        <v>183</v>
      </c>
      <c r="K137" s="290" t="s">
        <v>183</v>
      </c>
      <c r="L137" s="293">
        <v>0</v>
      </c>
      <c r="M137" s="293">
        <v>0</v>
      </c>
      <c r="N137" s="293">
        <v>28.173999999999999</v>
      </c>
      <c r="O137" s="290" t="s">
        <v>184</v>
      </c>
      <c r="P137" s="293">
        <v>50</v>
      </c>
      <c r="Q137" s="294">
        <v>650.44000000000005</v>
      </c>
      <c r="R137" s="294">
        <v>232.24</v>
      </c>
      <c r="S137" s="294">
        <v>1257.01</v>
      </c>
      <c r="T137" s="294">
        <v>0</v>
      </c>
      <c r="U137" s="294">
        <v>2139.69</v>
      </c>
    </row>
    <row r="138" spans="1:21" hidden="1" x14ac:dyDescent="0.25">
      <c r="A138" s="291">
        <v>1131228</v>
      </c>
      <c r="B138" s="290" t="s">
        <v>177</v>
      </c>
      <c r="C138" s="292">
        <v>42339</v>
      </c>
      <c r="D138" s="292">
        <v>42342</v>
      </c>
      <c r="E138" s="290" t="s">
        <v>190</v>
      </c>
      <c r="F138" s="290" t="s">
        <v>202</v>
      </c>
      <c r="G138" s="290" t="s">
        <v>180</v>
      </c>
      <c r="H138" s="290" t="s">
        <v>181</v>
      </c>
      <c r="I138" s="290" t="s">
        <v>182</v>
      </c>
      <c r="J138" s="290" t="s">
        <v>183</v>
      </c>
      <c r="K138" s="290" t="s">
        <v>183</v>
      </c>
      <c r="L138" s="293">
        <v>0</v>
      </c>
      <c r="M138" s="293">
        <v>0</v>
      </c>
      <c r="N138" s="293">
        <v>28.173999999999999</v>
      </c>
      <c r="O138" s="290" t="s">
        <v>184</v>
      </c>
      <c r="P138" s="293">
        <v>10</v>
      </c>
      <c r="Q138" s="294">
        <v>367.64</v>
      </c>
      <c r="R138" s="294">
        <v>99.6</v>
      </c>
      <c r="S138" s="294">
        <v>0</v>
      </c>
      <c r="T138" s="294">
        <v>0</v>
      </c>
      <c r="U138" s="294">
        <v>467.24</v>
      </c>
    </row>
    <row r="139" spans="1:21" hidden="1" x14ac:dyDescent="0.25">
      <c r="A139" s="291">
        <v>1130095</v>
      </c>
      <c r="B139" s="290" t="s">
        <v>177</v>
      </c>
      <c r="C139" s="292">
        <v>42339</v>
      </c>
      <c r="D139" s="292">
        <v>42339</v>
      </c>
      <c r="E139" s="290" t="s">
        <v>190</v>
      </c>
      <c r="F139" s="290" t="s">
        <v>226</v>
      </c>
      <c r="G139" s="290" t="s">
        <v>180</v>
      </c>
      <c r="H139" s="290" t="s">
        <v>181</v>
      </c>
      <c r="I139" s="290" t="s">
        <v>182</v>
      </c>
      <c r="J139" s="290" t="s">
        <v>183</v>
      </c>
      <c r="K139" s="290" t="s">
        <v>183</v>
      </c>
      <c r="L139" s="293">
        <v>0</v>
      </c>
      <c r="M139" s="293">
        <v>0</v>
      </c>
      <c r="N139" s="293">
        <v>28.173999999999999</v>
      </c>
      <c r="O139" s="290" t="s">
        <v>184</v>
      </c>
      <c r="P139" s="293">
        <v>0</v>
      </c>
      <c r="Q139" s="294">
        <v>0</v>
      </c>
      <c r="R139" s="294">
        <v>0</v>
      </c>
      <c r="S139" s="294">
        <v>0</v>
      </c>
      <c r="T139" s="294">
        <v>0</v>
      </c>
      <c r="U139" s="294">
        <v>0</v>
      </c>
    </row>
    <row r="140" spans="1:21" hidden="1" x14ac:dyDescent="0.25">
      <c r="A140" s="291">
        <v>1122461</v>
      </c>
      <c r="B140" s="290" t="s">
        <v>185</v>
      </c>
      <c r="C140" s="292">
        <v>42298</v>
      </c>
      <c r="D140" s="292">
        <v>42298</v>
      </c>
      <c r="E140" s="290" t="s">
        <v>186</v>
      </c>
      <c r="F140" s="290" t="s">
        <v>192</v>
      </c>
      <c r="G140" s="290" t="s">
        <v>180</v>
      </c>
      <c r="H140" s="290" t="s">
        <v>181</v>
      </c>
      <c r="I140" s="290" t="s">
        <v>182</v>
      </c>
      <c r="J140" s="290" t="s">
        <v>183</v>
      </c>
      <c r="K140" s="290" t="s">
        <v>183</v>
      </c>
      <c r="L140" s="293">
        <v>0</v>
      </c>
      <c r="M140" s="293">
        <v>0</v>
      </c>
      <c r="N140" s="293">
        <v>28.173999999999999</v>
      </c>
      <c r="O140" s="290" t="s">
        <v>184</v>
      </c>
      <c r="P140" s="293">
        <v>2</v>
      </c>
      <c r="Q140" s="294">
        <v>58.34</v>
      </c>
      <c r="R140" s="294">
        <v>18.350000000000001</v>
      </c>
      <c r="S140" s="294">
        <v>0</v>
      </c>
      <c r="T140" s="294">
        <v>0</v>
      </c>
      <c r="U140" s="294">
        <v>76.69</v>
      </c>
    </row>
    <row r="141" spans="1:21" hidden="1" x14ac:dyDescent="0.25">
      <c r="A141" s="291">
        <v>1112914</v>
      </c>
      <c r="B141" s="290" t="s">
        <v>185</v>
      </c>
      <c r="C141" s="292">
        <v>42257</v>
      </c>
      <c r="D141" s="292">
        <v>42257</v>
      </c>
      <c r="E141" s="290" t="s">
        <v>186</v>
      </c>
      <c r="F141" s="290" t="s">
        <v>192</v>
      </c>
      <c r="G141" s="290" t="s">
        <v>180</v>
      </c>
      <c r="H141" s="290" t="s">
        <v>181</v>
      </c>
      <c r="I141" s="290" t="s">
        <v>182</v>
      </c>
      <c r="J141" s="290" t="s">
        <v>183</v>
      </c>
      <c r="K141" s="290" t="s">
        <v>183</v>
      </c>
      <c r="L141" s="293">
        <v>0</v>
      </c>
      <c r="M141" s="293">
        <v>0</v>
      </c>
      <c r="N141" s="293">
        <v>28.173999999999999</v>
      </c>
      <c r="O141" s="290" t="s">
        <v>184</v>
      </c>
      <c r="P141" s="293">
        <v>7.2</v>
      </c>
      <c r="Q141" s="294">
        <v>56.19</v>
      </c>
      <c r="R141" s="294">
        <v>18.350000000000001</v>
      </c>
      <c r="S141" s="294">
        <v>0</v>
      </c>
      <c r="T141" s="294">
        <v>0</v>
      </c>
      <c r="U141" s="294">
        <v>74.540000000000006</v>
      </c>
    </row>
    <row r="142" spans="1:21" hidden="1" x14ac:dyDescent="0.25">
      <c r="A142" s="291">
        <v>1112907</v>
      </c>
      <c r="B142" s="290" t="s">
        <v>185</v>
      </c>
      <c r="C142" s="292">
        <v>42257</v>
      </c>
      <c r="D142" s="292">
        <v>42257</v>
      </c>
      <c r="E142" s="290" t="s">
        <v>227</v>
      </c>
      <c r="F142" s="290" t="s">
        <v>192</v>
      </c>
      <c r="G142" s="290" t="s">
        <v>180</v>
      </c>
      <c r="H142" s="290" t="s">
        <v>228</v>
      </c>
      <c r="I142" s="290" t="s">
        <v>182</v>
      </c>
      <c r="J142" s="290" t="s">
        <v>183</v>
      </c>
      <c r="K142" s="290" t="s">
        <v>183</v>
      </c>
      <c r="L142" s="293">
        <v>0</v>
      </c>
      <c r="M142" s="293">
        <v>0</v>
      </c>
      <c r="N142" s="293">
        <v>28.173999999999999</v>
      </c>
      <c r="O142" s="290" t="s">
        <v>184</v>
      </c>
      <c r="P142" s="293">
        <v>60.8</v>
      </c>
      <c r="Q142" s="294">
        <v>280.95</v>
      </c>
      <c r="R142" s="294">
        <v>91.75</v>
      </c>
      <c r="S142" s="294">
        <v>0</v>
      </c>
      <c r="T142" s="294">
        <v>0</v>
      </c>
      <c r="U142" s="294">
        <v>372.7</v>
      </c>
    </row>
    <row r="143" spans="1:21" hidden="1" x14ac:dyDescent="0.25">
      <c r="A143" s="291">
        <v>1109453</v>
      </c>
      <c r="B143" s="290" t="s">
        <v>177</v>
      </c>
      <c r="C143" s="292">
        <v>42243</v>
      </c>
      <c r="D143" s="292">
        <v>42248</v>
      </c>
      <c r="E143" s="290" t="s">
        <v>190</v>
      </c>
      <c r="F143" s="290" t="s">
        <v>196</v>
      </c>
      <c r="G143" s="290" t="s">
        <v>180</v>
      </c>
      <c r="H143" s="290" t="s">
        <v>181</v>
      </c>
      <c r="I143" s="290" t="s">
        <v>182</v>
      </c>
      <c r="J143" s="290" t="s">
        <v>183</v>
      </c>
      <c r="K143" s="290" t="s">
        <v>183</v>
      </c>
      <c r="L143" s="293">
        <v>0</v>
      </c>
      <c r="M143" s="293">
        <v>0</v>
      </c>
      <c r="N143" s="293">
        <v>28.173999999999999</v>
      </c>
      <c r="O143" s="290" t="s">
        <v>184</v>
      </c>
      <c r="P143" s="293">
        <v>300</v>
      </c>
      <c r="Q143" s="294">
        <v>521.91</v>
      </c>
      <c r="R143" s="294">
        <v>269.51</v>
      </c>
      <c r="S143" s="294">
        <v>409.5</v>
      </c>
      <c r="T143" s="294">
        <v>0</v>
      </c>
      <c r="U143" s="294">
        <v>1200.92</v>
      </c>
    </row>
    <row r="144" spans="1:21" hidden="1" x14ac:dyDescent="0.25">
      <c r="A144" s="291">
        <v>1108280</v>
      </c>
      <c r="B144" s="290" t="s">
        <v>177</v>
      </c>
      <c r="C144" s="292">
        <v>42234</v>
      </c>
      <c r="D144" s="292">
        <v>42240</v>
      </c>
      <c r="E144" s="290" t="s">
        <v>190</v>
      </c>
      <c r="F144" s="290" t="s">
        <v>202</v>
      </c>
      <c r="G144" s="290" t="s">
        <v>180</v>
      </c>
      <c r="H144" s="290" t="s">
        <v>181</v>
      </c>
      <c r="I144" s="290" t="s">
        <v>182</v>
      </c>
      <c r="J144" s="290" t="s">
        <v>183</v>
      </c>
      <c r="K144" s="290" t="s">
        <v>183</v>
      </c>
      <c r="L144" s="293">
        <v>0</v>
      </c>
      <c r="M144" s="293">
        <v>0</v>
      </c>
      <c r="N144" s="293">
        <v>28.173999999999999</v>
      </c>
      <c r="O144" s="290" t="s">
        <v>184</v>
      </c>
      <c r="P144" s="293">
        <v>8</v>
      </c>
      <c r="Q144" s="294">
        <v>649.20000000000005</v>
      </c>
      <c r="R144" s="294">
        <v>297.33999999999997</v>
      </c>
      <c r="S144" s="294">
        <v>0</v>
      </c>
      <c r="T144" s="294">
        <v>0</v>
      </c>
      <c r="U144" s="294">
        <v>946.54</v>
      </c>
    </row>
    <row r="145" spans="1:21" hidden="1" x14ac:dyDescent="0.25">
      <c r="A145" s="291">
        <v>1107156</v>
      </c>
      <c r="B145" s="290" t="s">
        <v>185</v>
      </c>
      <c r="C145" s="292">
        <v>42234</v>
      </c>
      <c r="D145" s="292">
        <v>42234</v>
      </c>
      <c r="E145" s="290" t="s">
        <v>186</v>
      </c>
      <c r="F145" s="290" t="s">
        <v>192</v>
      </c>
      <c r="G145" s="290" t="s">
        <v>180</v>
      </c>
      <c r="H145" s="290" t="s">
        <v>181</v>
      </c>
      <c r="I145" s="290" t="s">
        <v>182</v>
      </c>
      <c r="J145" s="290" t="s">
        <v>183</v>
      </c>
      <c r="K145" s="290" t="s">
        <v>183</v>
      </c>
      <c r="L145" s="293">
        <v>0</v>
      </c>
      <c r="M145" s="293">
        <v>0</v>
      </c>
      <c r="N145" s="293">
        <v>28.173999999999999</v>
      </c>
      <c r="O145" s="290" t="s">
        <v>184</v>
      </c>
      <c r="P145" s="293">
        <v>50</v>
      </c>
      <c r="Q145" s="294">
        <v>195.37</v>
      </c>
      <c r="R145" s="294">
        <v>128.44999999999999</v>
      </c>
      <c r="S145" s="294">
        <v>0</v>
      </c>
      <c r="T145" s="294">
        <v>0</v>
      </c>
      <c r="U145" s="294">
        <v>323.82</v>
      </c>
    </row>
    <row r="146" spans="1:21" hidden="1" x14ac:dyDescent="0.25">
      <c r="A146" s="291">
        <v>1099227</v>
      </c>
      <c r="B146" s="290" t="s">
        <v>185</v>
      </c>
      <c r="C146" s="292">
        <v>42206</v>
      </c>
      <c r="D146" s="292">
        <v>42206</v>
      </c>
      <c r="E146" s="290" t="s">
        <v>186</v>
      </c>
      <c r="F146" s="290" t="s">
        <v>192</v>
      </c>
      <c r="G146" s="290" t="s">
        <v>180</v>
      </c>
      <c r="H146" s="290" t="s">
        <v>181</v>
      </c>
      <c r="I146" s="290" t="s">
        <v>182</v>
      </c>
      <c r="J146" s="290" t="s">
        <v>183</v>
      </c>
      <c r="K146" s="290" t="s">
        <v>183</v>
      </c>
      <c r="L146" s="293">
        <v>0</v>
      </c>
      <c r="M146" s="293">
        <v>0</v>
      </c>
      <c r="N146" s="293">
        <v>28.173999999999999</v>
      </c>
      <c r="O146" s="290" t="s">
        <v>184</v>
      </c>
      <c r="P146" s="293">
        <v>10</v>
      </c>
      <c r="Q146" s="294">
        <v>112.38</v>
      </c>
      <c r="R146" s="294">
        <v>36.700000000000003</v>
      </c>
      <c r="S146" s="294">
        <v>0</v>
      </c>
      <c r="T146" s="294">
        <v>0</v>
      </c>
      <c r="U146" s="294">
        <v>149.08000000000001</v>
      </c>
    </row>
    <row r="147" spans="1:21" hidden="1" x14ac:dyDescent="0.25">
      <c r="A147" s="291">
        <v>1096157</v>
      </c>
      <c r="B147" s="290" t="s">
        <v>177</v>
      </c>
      <c r="C147" s="292">
        <v>42194</v>
      </c>
      <c r="D147" s="292">
        <v>42195</v>
      </c>
      <c r="E147" s="290" t="s">
        <v>190</v>
      </c>
      <c r="F147" s="290" t="s">
        <v>229</v>
      </c>
      <c r="G147" s="290" t="s">
        <v>215</v>
      </c>
      <c r="H147" s="290" t="s">
        <v>181</v>
      </c>
      <c r="I147" s="290" t="s">
        <v>194</v>
      </c>
      <c r="J147" s="290" t="s">
        <v>183</v>
      </c>
      <c r="K147" s="290" t="s">
        <v>183</v>
      </c>
      <c r="L147" s="293">
        <v>0</v>
      </c>
      <c r="M147" s="293">
        <v>0</v>
      </c>
      <c r="N147" s="293">
        <v>3.4409999999999998</v>
      </c>
      <c r="O147" s="290" t="s">
        <v>184</v>
      </c>
      <c r="P147" s="293">
        <v>1500</v>
      </c>
      <c r="Q147" s="294">
        <v>606.76</v>
      </c>
      <c r="R147" s="294">
        <v>72.2</v>
      </c>
      <c r="S147" s="294">
        <v>0</v>
      </c>
      <c r="T147" s="294">
        <v>0</v>
      </c>
      <c r="U147" s="294">
        <v>678.96</v>
      </c>
    </row>
    <row r="148" spans="1:21" hidden="1" x14ac:dyDescent="0.25">
      <c r="A148" s="291">
        <v>1095003</v>
      </c>
      <c r="B148" s="290" t="s">
        <v>185</v>
      </c>
      <c r="C148" s="292">
        <v>42191</v>
      </c>
      <c r="D148" s="292">
        <v>42191</v>
      </c>
      <c r="E148" s="290" t="s">
        <v>186</v>
      </c>
      <c r="F148" s="290" t="s">
        <v>192</v>
      </c>
      <c r="G148" s="290" t="s">
        <v>180</v>
      </c>
      <c r="H148" s="290" t="s">
        <v>181</v>
      </c>
      <c r="I148" s="290" t="s">
        <v>182</v>
      </c>
      <c r="J148" s="290" t="s">
        <v>183</v>
      </c>
      <c r="K148" s="290" t="s">
        <v>183</v>
      </c>
      <c r="L148" s="293">
        <v>0</v>
      </c>
      <c r="M148" s="293">
        <v>0</v>
      </c>
      <c r="N148" s="293">
        <v>28.173999999999999</v>
      </c>
      <c r="O148" s="290" t="s">
        <v>184</v>
      </c>
      <c r="P148" s="293">
        <v>28.8</v>
      </c>
      <c r="Q148" s="294">
        <v>117.3</v>
      </c>
      <c r="R148" s="294">
        <v>36.700000000000003</v>
      </c>
      <c r="S148" s="294">
        <v>0</v>
      </c>
      <c r="T148" s="294">
        <v>0</v>
      </c>
      <c r="U148" s="294">
        <v>154</v>
      </c>
    </row>
    <row r="149" spans="1:21" hidden="1" x14ac:dyDescent="0.25">
      <c r="A149" s="291">
        <v>1091024</v>
      </c>
      <c r="B149" s="290" t="s">
        <v>185</v>
      </c>
      <c r="C149" s="292">
        <v>42172</v>
      </c>
      <c r="D149" s="292">
        <v>42172</v>
      </c>
      <c r="E149" s="290" t="s">
        <v>186</v>
      </c>
      <c r="F149" s="290" t="s">
        <v>192</v>
      </c>
      <c r="G149" s="290" t="s">
        <v>180</v>
      </c>
      <c r="H149" s="290" t="s">
        <v>181</v>
      </c>
      <c r="I149" s="290" t="s">
        <v>182</v>
      </c>
      <c r="J149" s="290" t="s">
        <v>183</v>
      </c>
      <c r="K149" s="290" t="s">
        <v>183</v>
      </c>
      <c r="L149" s="293">
        <v>0</v>
      </c>
      <c r="M149" s="293">
        <v>0</v>
      </c>
      <c r="N149" s="293">
        <v>28.173999999999999</v>
      </c>
      <c r="O149" s="290" t="s">
        <v>184</v>
      </c>
      <c r="P149" s="293">
        <v>9</v>
      </c>
      <c r="Q149" s="294">
        <v>175.95</v>
      </c>
      <c r="R149" s="294">
        <v>55.05</v>
      </c>
      <c r="S149" s="294">
        <v>0</v>
      </c>
      <c r="T149" s="294">
        <v>0</v>
      </c>
      <c r="U149" s="294">
        <v>231</v>
      </c>
    </row>
    <row r="150" spans="1:21" hidden="1" x14ac:dyDescent="0.25">
      <c r="A150" s="291">
        <v>1090247</v>
      </c>
      <c r="B150" s="290" t="s">
        <v>185</v>
      </c>
      <c r="C150" s="292">
        <v>42170</v>
      </c>
      <c r="D150" s="292">
        <v>42170</v>
      </c>
      <c r="E150" s="290" t="s">
        <v>186</v>
      </c>
      <c r="F150" s="290" t="s">
        <v>192</v>
      </c>
      <c r="G150" s="290" t="s">
        <v>180</v>
      </c>
      <c r="H150" s="290" t="s">
        <v>181</v>
      </c>
      <c r="I150" s="290" t="s">
        <v>182</v>
      </c>
      <c r="J150" s="290" t="s">
        <v>183</v>
      </c>
      <c r="K150" s="290" t="s">
        <v>183</v>
      </c>
      <c r="L150" s="293">
        <v>0</v>
      </c>
      <c r="M150" s="293">
        <v>0</v>
      </c>
      <c r="N150" s="293">
        <v>28.173999999999999</v>
      </c>
      <c r="O150" s="290" t="s">
        <v>184</v>
      </c>
      <c r="P150" s="293">
        <v>56</v>
      </c>
      <c r="Q150" s="294">
        <v>410.55</v>
      </c>
      <c r="R150" s="294">
        <v>128.44999999999999</v>
      </c>
      <c r="S150" s="294">
        <v>0</v>
      </c>
      <c r="T150" s="294">
        <v>0</v>
      </c>
      <c r="U150" s="294">
        <v>539</v>
      </c>
    </row>
    <row r="151" spans="1:21" hidden="1" x14ac:dyDescent="0.25">
      <c r="A151" s="291">
        <v>1089294</v>
      </c>
      <c r="B151" s="290" t="s">
        <v>177</v>
      </c>
      <c r="C151" s="292">
        <v>42165</v>
      </c>
      <c r="D151" s="292">
        <v>42166</v>
      </c>
      <c r="E151" s="290" t="s">
        <v>190</v>
      </c>
      <c r="F151" s="290" t="s">
        <v>229</v>
      </c>
      <c r="G151" s="290" t="s">
        <v>207</v>
      </c>
      <c r="H151" s="290" t="s">
        <v>181</v>
      </c>
      <c r="I151" s="290" t="s">
        <v>182</v>
      </c>
      <c r="J151" s="290" t="s">
        <v>183</v>
      </c>
      <c r="K151" s="290" t="s">
        <v>183</v>
      </c>
      <c r="L151" s="293">
        <v>0</v>
      </c>
      <c r="M151" s="293">
        <v>31</v>
      </c>
      <c r="N151" s="293">
        <v>35</v>
      </c>
      <c r="O151" s="290" t="s">
        <v>184</v>
      </c>
      <c r="P151" s="293">
        <v>1000</v>
      </c>
      <c r="Q151" s="294">
        <v>897.28</v>
      </c>
      <c r="R151" s="294">
        <v>139.04</v>
      </c>
      <c r="S151" s="294">
        <v>0</v>
      </c>
      <c r="T151" s="294">
        <v>0</v>
      </c>
      <c r="U151" s="294">
        <v>1036.32</v>
      </c>
    </row>
    <row r="152" spans="1:21" hidden="1" x14ac:dyDescent="0.25">
      <c r="A152" s="291">
        <v>1081160</v>
      </c>
      <c r="B152" s="290" t="s">
        <v>185</v>
      </c>
      <c r="C152" s="292">
        <v>42131</v>
      </c>
      <c r="D152" s="292">
        <v>42131</v>
      </c>
      <c r="E152" s="290" t="s">
        <v>186</v>
      </c>
      <c r="F152" s="290" t="s">
        <v>192</v>
      </c>
      <c r="G152" s="290" t="s">
        <v>180</v>
      </c>
      <c r="H152" s="290" t="s">
        <v>181</v>
      </c>
      <c r="I152" s="290" t="s">
        <v>182</v>
      </c>
      <c r="J152" s="290" t="s">
        <v>183</v>
      </c>
      <c r="K152" s="290" t="s">
        <v>183</v>
      </c>
      <c r="L152" s="293">
        <v>0</v>
      </c>
      <c r="M152" s="293">
        <v>0</v>
      </c>
      <c r="N152" s="293">
        <v>28.173999999999999</v>
      </c>
      <c r="O152" s="290" t="s">
        <v>184</v>
      </c>
      <c r="P152" s="293">
        <v>4</v>
      </c>
      <c r="Q152" s="294">
        <v>119.36</v>
      </c>
      <c r="R152" s="294">
        <v>36.700000000000003</v>
      </c>
      <c r="S152" s="294">
        <v>0</v>
      </c>
      <c r="T152" s="294">
        <v>0</v>
      </c>
      <c r="U152" s="294">
        <v>156.06</v>
      </c>
    </row>
    <row r="153" spans="1:21" hidden="1" x14ac:dyDescent="0.25">
      <c r="A153" s="291">
        <v>1080743</v>
      </c>
      <c r="B153" s="290" t="s">
        <v>177</v>
      </c>
      <c r="C153" s="292">
        <v>42131</v>
      </c>
      <c r="D153" s="292">
        <v>42150</v>
      </c>
      <c r="E153" s="290" t="s">
        <v>190</v>
      </c>
      <c r="F153" s="290" t="s">
        <v>230</v>
      </c>
      <c r="G153" s="290" t="s">
        <v>180</v>
      </c>
      <c r="H153" s="290" t="s">
        <v>181</v>
      </c>
      <c r="I153" s="290" t="s">
        <v>182</v>
      </c>
      <c r="J153" s="290" t="s">
        <v>183</v>
      </c>
      <c r="K153" s="290" t="s">
        <v>183</v>
      </c>
      <c r="L153" s="293">
        <v>0</v>
      </c>
      <c r="M153" s="293">
        <v>0</v>
      </c>
      <c r="N153" s="293">
        <v>28.173999999999999</v>
      </c>
      <c r="O153" s="290" t="s">
        <v>184</v>
      </c>
      <c r="P153" s="293">
        <v>31680</v>
      </c>
      <c r="Q153" s="294">
        <v>3100</v>
      </c>
      <c r="R153" s="294">
        <v>432.9</v>
      </c>
      <c r="S153" s="294">
        <v>0</v>
      </c>
      <c r="T153" s="294">
        <v>0</v>
      </c>
      <c r="U153" s="294">
        <v>3532.9</v>
      </c>
    </row>
    <row r="154" spans="1:21" hidden="1" x14ac:dyDescent="0.25">
      <c r="A154" s="291">
        <v>1080501</v>
      </c>
      <c r="B154" s="290" t="s">
        <v>177</v>
      </c>
      <c r="C154" s="292">
        <v>42130</v>
      </c>
      <c r="D154" s="292">
        <v>42130</v>
      </c>
      <c r="E154" s="290" t="s">
        <v>190</v>
      </c>
      <c r="F154" s="290" t="s">
        <v>231</v>
      </c>
      <c r="G154" s="290" t="s">
        <v>180</v>
      </c>
      <c r="H154" s="290" t="s">
        <v>181</v>
      </c>
      <c r="I154" s="290" t="s">
        <v>182</v>
      </c>
      <c r="J154" s="290" t="s">
        <v>183</v>
      </c>
      <c r="K154" s="290" t="s">
        <v>183</v>
      </c>
      <c r="L154" s="293">
        <v>0</v>
      </c>
      <c r="M154" s="293">
        <v>0</v>
      </c>
      <c r="N154" s="293">
        <v>28.173999999999999</v>
      </c>
      <c r="O154" s="290" t="s">
        <v>184</v>
      </c>
      <c r="P154" s="293">
        <v>6</v>
      </c>
      <c r="Q154" s="294">
        <v>1213.52</v>
      </c>
      <c r="R154" s="294">
        <v>286.08</v>
      </c>
      <c r="S154" s="294">
        <v>0</v>
      </c>
      <c r="T154" s="294">
        <v>0</v>
      </c>
      <c r="U154" s="294">
        <v>1499.6</v>
      </c>
    </row>
    <row r="155" spans="1:21" hidden="1" x14ac:dyDescent="0.25">
      <c r="A155" s="291">
        <v>1080435</v>
      </c>
      <c r="B155" s="290" t="s">
        <v>185</v>
      </c>
      <c r="C155" s="292">
        <v>42129</v>
      </c>
      <c r="D155" s="292">
        <v>42129</v>
      </c>
      <c r="E155" s="290" t="s">
        <v>186</v>
      </c>
      <c r="F155" s="290" t="s">
        <v>192</v>
      </c>
      <c r="G155" s="290" t="s">
        <v>180</v>
      </c>
      <c r="H155" s="290" t="s">
        <v>181</v>
      </c>
      <c r="I155" s="290" t="s">
        <v>182</v>
      </c>
      <c r="J155" s="290" t="s">
        <v>183</v>
      </c>
      <c r="K155" s="290" t="s">
        <v>183</v>
      </c>
      <c r="L155" s="293">
        <v>0</v>
      </c>
      <c r="M155" s="293">
        <v>0</v>
      </c>
      <c r="N155" s="293">
        <v>28.173999999999999</v>
      </c>
      <c r="O155" s="290" t="s">
        <v>184</v>
      </c>
      <c r="P155" s="293">
        <v>14</v>
      </c>
      <c r="Q155" s="294">
        <v>358.08</v>
      </c>
      <c r="R155" s="294">
        <v>110.1</v>
      </c>
      <c r="S155" s="294">
        <v>0</v>
      </c>
      <c r="T155" s="294">
        <v>0</v>
      </c>
      <c r="U155" s="294">
        <v>468.18</v>
      </c>
    </row>
    <row r="156" spans="1:21" hidden="1" x14ac:dyDescent="0.25">
      <c r="A156" s="291">
        <v>1075362</v>
      </c>
      <c r="B156" s="290" t="s">
        <v>185</v>
      </c>
      <c r="C156" s="292">
        <v>42109</v>
      </c>
      <c r="D156" s="292">
        <v>42109</v>
      </c>
      <c r="E156" s="290" t="s">
        <v>186</v>
      </c>
      <c r="F156" s="290" t="s">
        <v>192</v>
      </c>
      <c r="G156" s="290" t="s">
        <v>180</v>
      </c>
      <c r="H156" s="290" t="s">
        <v>181</v>
      </c>
      <c r="I156" s="290" t="s">
        <v>182</v>
      </c>
      <c r="J156" s="290" t="s">
        <v>183</v>
      </c>
      <c r="K156" s="290" t="s">
        <v>183</v>
      </c>
      <c r="L156" s="293">
        <v>0</v>
      </c>
      <c r="M156" s="293">
        <v>0</v>
      </c>
      <c r="N156" s="293">
        <v>28.173999999999999</v>
      </c>
      <c r="O156" s="290" t="s">
        <v>184</v>
      </c>
      <c r="P156" s="293">
        <v>51</v>
      </c>
      <c r="Q156" s="294">
        <v>477.44</v>
      </c>
      <c r="R156" s="294">
        <v>146.80000000000001</v>
      </c>
      <c r="S156" s="294">
        <v>0</v>
      </c>
      <c r="T156" s="294">
        <v>0</v>
      </c>
      <c r="U156" s="294">
        <v>624.24</v>
      </c>
    </row>
    <row r="157" spans="1:21" hidden="1" x14ac:dyDescent="0.25">
      <c r="A157" s="291">
        <v>1072593</v>
      </c>
      <c r="B157" s="290" t="s">
        <v>177</v>
      </c>
      <c r="C157" s="292">
        <v>42101</v>
      </c>
      <c r="D157" s="292">
        <v>42101</v>
      </c>
      <c r="E157" s="290" t="s">
        <v>190</v>
      </c>
      <c r="F157" s="290" t="s">
        <v>230</v>
      </c>
      <c r="G157" s="290" t="s">
        <v>180</v>
      </c>
      <c r="H157" s="290" t="s">
        <v>181</v>
      </c>
      <c r="I157" s="290" t="s">
        <v>182</v>
      </c>
      <c r="J157" s="290" t="s">
        <v>183</v>
      </c>
      <c r="K157" s="290" t="s">
        <v>183</v>
      </c>
      <c r="L157" s="293">
        <v>0</v>
      </c>
      <c r="M157" s="293">
        <v>26</v>
      </c>
      <c r="N157" s="293">
        <v>28.17</v>
      </c>
      <c r="O157" s="290" t="s">
        <v>184</v>
      </c>
      <c r="P157" s="293">
        <v>2000</v>
      </c>
      <c r="Q157" s="294">
        <v>1461.21</v>
      </c>
      <c r="R157" s="294">
        <v>182.24</v>
      </c>
      <c r="S157" s="294">
        <v>0</v>
      </c>
      <c r="T157" s="294">
        <v>0</v>
      </c>
      <c r="U157" s="294">
        <v>1643.45</v>
      </c>
    </row>
    <row r="158" spans="1:21" hidden="1" x14ac:dyDescent="0.25">
      <c r="A158" s="291">
        <v>1070221</v>
      </c>
      <c r="B158" s="290" t="s">
        <v>185</v>
      </c>
      <c r="C158" s="292">
        <v>42088</v>
      </c>
      <c r="D158" s="292">
        <v>42088</v>
      </c>
      <c r="E158" s="290" t="s">
        <v>232</v>
      </c>
      <c r="F158" s="290" t="s">
        <v>192</v>
      </c>
      <c r="G158" s="290" t="s">
        <v>180</v>
      </c>
      <c r="H158" s="290" t="s">
        <v>181</v>
      </c>
      <c r="I158" s="290" t="s">
        <v>182</v>
      </c>
      <c r="J158" s="290" t="s">
        <v>183</v>
      </c>
      <c r="K158" s="290" t="s">
        <v>183</v>
      </c>
      <c r="L158" s="293">
        <v>0</v>
      </c>
      <c r="M158" s="293">
        <v>0</v>
      </c>
      <c r="N158" s="293">
        <v>28.173999999999999</v>
      </c>
      <c r="O158" s="290" t="s">
        <v>184</v>
      </c>
      <c r="P158" s="293">
        <v>50</v>
      </c>
      <c r="Q158" s="294">
        <v>2215.98</v>
      </c>
      <c r="R158" s="294">
        <v>432.12</v>
      </c>
      <c r="S158" s="294">
        <v>0</v>
      </c>
      <c r="T158" s="294">
        <v>0</v>
      </c>
      <c r="U158" s="294">
        <v>2648.1</v>
      </c>
    </row>
    <row r="159" spans="1:21" hidden="1" x14ac:dyDescent="0.25">
      <c r="A159" s="291">
        <v>1070218</v>
      </c>
      <c r="B159" s="290" t="s">
        <v>185</v>
      </c>
      <c r="C159" s="292">
        <v>42087</v>
      </c>
      <c r="D159" s="292">
        <v>42087</v>
      </c>
      <c r="E159" s="290" t="s">
        <v>232</v>
      </c>
      <c r="F159" s="290" t="s">
        <v>192</v>
      </c>
      <c r="G159" s="290" t="s">
        <v>180</v>
      </c>
      <c r="H159" s="290" t="s">
        <v>181</v>
      </c>
      <c r="I159" s="290" t="s">
        <v>182</v>
      </c>
      <c r="J159" s="290" t="s">
        <v>183</v>
      </c>
      <c r="K159" s="290" t="s">
        <v>183</v>
      </c>
      <c r="L159" s="293">
        <v>0</v>
      </c>
      <c r="M159" s="293">
        <v>0</v>
      </c>
      <c r="N159" s="293">
        <v>28.173999999999999</v>
      </c>
      <c r="O159" s="290" t="s">
        <v>184</v>
      </c>
      <c r="P159" s="293">
        <v>55</v>
      </c>
      <c r="Q159" s="294">
        <v>2215.98</v>
      </c>
      <c r="R159" s="294">
        <v>432.12</v>
      </c>
      <c r="S159" s="294">
        <v>0</v>
      </c>
      <c r="T159" s="294">
        <v>0</v>
      </c>
      <c r="U159" s="294">
        <v>2648.1</v>
      </c>
    </row>
    <row r="160" spans="1:21" hidden="1" x14ac:dyDescent="0.25">
      <c r="A160" s="291">
        <v>1056599</v>
      </c>
      <c r="B160" s="290" t="s">
        <v>185</v>
      </c>
      <c r="C160" s="292">
        <v>42010</v>
      </c>
      <c r="D160" s="292">
        <v>42010</v>
      </c>
      <c r="E160" s="290" t="s">
        <v>225</v>
      </c>
      <c r="F160" s="290" t="s">
        <v>192</v>
      </c>
      <c r="G160" s="290" t="s">
        <v>180</v>
      </c>
      <c r="H160" s="290" t="s">
        <v>197</v>
      </c>
      <c r="I160" s="290" t="s">
        <v>182</v>
      </c>
      <c r="J160" s="290" t="s">
        <v>183</v>
      </c>
      <c r="K160" s="290" t="s">
        <v>183</v>
      </c>
      <c r="L160" s="293">
        <v>0</v>
      </c>
      <c r="M160" s="293">
        <v>0</v>
      </c>
      <c r="N160" s="293">
        <v>28.173999999999999</v>
      </c>
      <c r="O160" s="290" t="s">
        <v>184</v>
      </c>
      <c r="P160" s="293">
        <v>15</v>
      </c>
      <c r="Q160" s="294">
        <v>103.2</v>
      </c>
      <c r="R160" s="294">
        <v>29.78</v>
      </c>
      <c r="S160" s="294">
        <v>0</v>
      </c>
      <c r="T160" s="294">
        <v>0</v>
      </c>
      <c r="U160" s="294">
        <v>132.97999999999999</v>
      </c>
    </row>
    <row r="161" spans="1:21" hidden="1" x14ac:dyDescent="0.25">
      <c r="A161" s="291">
        <v>1050898</v>
      </c>
      <c r="B161" s="290" t="s">
        <v>185</v>
      </c>
      <c r="C161" s="292">
        <v>41962</v>
      </c>
      <c r="D161" s="292">
        <v>41962</v>
      </c>
      <c r="E161" s="290" t="s">
        <v>225</v>
      </c>
      <c r="F161" s="290" t="s">
        <v>192</v>
      </c>
      <c r="G161" s="290" t="s">
        <v>233</v>
      </c>
      <c r="H161" s="290" t="s">
        <v>197</v>
      </c>
      <c r="I161" s="290" t="s">
        <v>182</v>
      </c>
      <c r="J161" s="290" t="s">
        <v>183</v>
      </c>
      <c r="K161" s="290" t="s">
        <v>183</v>
      </c>
      <c r="L161" s="293">
        <v>0</v>
      </c>
      <c r="M161" s="293">
        <v>0</v>
      </c>
      <c r="N161" s="293">
        <v>28.173999999999999</v>
      </c>
      <c r="O161" s="290" t="s">
        <v>184</v>
      </c>
      <c r="P161" s="293">
        <v>7.25</v>
      </c>
      <c r="Q161" s="294">
        <v>179.52</v>
      </c>
      <c r="R161" s="294">
        <v>55.05</v>
      </c>
      <c r="S161" s="294">
        <v>0</v>
      </c>
      <c r="T161" s="294">
        <v>0</v>
      </c>
      <c r="U161" s="294">
        <v>234.57</v>
      </c>
    </row>
    <row r="162" spans="1:21" hidden="1" x14ac:dyDescent="0.25">
      <c r="A162" s="291">
        <v>1049119</v>
      </c>
      <c r="B162" s="290" t="s">
        <v>185</v>
      </c>
      <c r="C162" s="292">
        <v>41949</v>
      </c>
      <c r="D162" s="292">
        <v>41949</v>
      </c>
      <c r="E162" s="290" t="s">
        <v>225</v>
      </c>
      <c r="F162" s="290" t="s">
        <v>192</v>
      </c>
      <c r="G162" s="290" t="s">
        <v>215</v>
      </c>
      <c r="H162" s="290" t="s">
        <v>197</v>
      </c>
      <c r="I162" s="290" t="s">
        <v>194</v>
      </c>
      <c r="J162" s="290" t="s">
        <v>183</v>
      </c>
      <c r="K162" s="290" t="s">
        <v>183</v>
      </c>
      <c r="L162" s="293">
        <v>0</v>
      </c>
      <c r="M162" s="293">
        <v>0</v>
      </c>
      <c r="N162" s="293">
        <v>3.4409999999999998</v>
      </c>
      <c r="O162" s="290" t="s">
        <v>184</v>
      </c>
      <c r="P162" s="293">
        <v>9</v>
      </c>
      <c r="Q162" s="294">
        <v>119.68</v>
      </c>
      <c r="R162" s="294">
        <v>36.700000000000003</v>
      </c>
      <c r="S162" s="294">
        <v>0</v>
      </c>
      <c r="T162" s="294">
        <v>0</v>
      </c>
      <c r="U162" s="294">
        <v>156.38</v>
      </c>
    </row>
    <row r="163" spans="1:21" hidden="1" x14ac:dyDescent="0.25">
      <c r="A163" s="291">
        <v>1031248</v>
      </c>
      <c r="B163" s="290" t="s">
        <v>185</v>
      </c>
      <c r="C163" s="292">
        <v>41858</v>
      </c>
      <c r="D163" s="292">
        <v>41858</v>
      </c>
      <c r="E163" s="290" t="s">
        <v>186</v>
      </c>
      <c r="F163" s="290" t="s">
        <v>192</v>
      </c>
      <c r="G163" s="290" t="s">
        <v>233</v>
      </c>
      <c r="H163" s="290" t="s">
        <v>181</v>
      </c>
      <c r="I163" s="290" t="s">
        <v>182</v>
      </c>
      <c r="J163" s="290" t="s">
        <v>183</v>
      </c>
      <c r="K163" s="290" t="s">
        <v>183</v>
      </c>
      <c r="L163" s="293">
        <v>0</v>
      </c>
      <c r="M163" s="293">
        <v>0</v>
      </c>
      <c r="N163" s="293">
        <v>28.173999999999999</v>
      </c>
      <c r="O163" s="290" t="s">
        <v>184</v>
      </c>
      <c r="P163" s="293">
        <v>30</v>
      </c>
      <c r="Q163" s="294">
        <v>166.8</v>
      </c>
      <c r="R163" s="294">
        <v>44.91</v>
      </c>
      <c r="S163" s="294">
        <v>0</v>
      </c>
      <c r="T163" s="294">
        <v>0</v>
      </c>
      <c r="U163" s="294">
        <v>211.71</v>
      </c>
    </row>
    <row r="164" spans="1:21" hidden="1" x14ac:dyDescent="0.25">
      <c r="A164" s="291">
        <v>1027660</v>
      </c>
      <c r="B164" s="290" t="s">
        <v>185</v>
      </c>
      <c r="C164" s="292">
        <v>41842</v>
      </c>
      <c r="D164" s="292">
        <v>41842</v>
      </c>
      <c r="E164" s="290" t="s">
        <v>186</v>
      </c>
      <c r="F164" s="290" t="s">
        <v>192</v>
      </c>
      <c r="G164" s="290" t="s">
        <v>215</v>
      </c>
      <c r="H164" s="290" t="s">
        <v>181</v>
      </c>
      <c r="I164" s="290" t="s">
        <v>194</v>
      </c>
      <c r="J164" s="290" t="s">
        <v>183</v>
      </c>
      <c r="K164" s="290" t="s">
        <v>183</v>
      </c>
      <c r="L164" s="293">
        <v>0</v>
      </c>
      <c r="M164" s="293">
        <v>0</v>
      </c>
      <c r="N164" s="293">
        <v>3.4409999999999998</v>
      </c>
      <c r="O164" s="290" t="s">
        <v>184</v>
      </c>
      <c r="P164" s="293">
        <v>24</v>
      </c>
      <c r="Q164" s="294">
        <v>56.24</v>
      </c>
      <c r="R164" s="294">
        <v>29.94</v>
      </c>
      <c r="S164" s="294">
        <v>0</v>
      </c>
      <c r="T164" s="294">
        <v>0</v>
      </c>
      <c r="U164" s="294">
        <v>86.18</v>
      </c>
    </row>
    <row r="165" spans="1:21" hidden="1" x14ac:dyDescent="0.25">
      <c r="A165" s="291">
        <v>1021796</v>
      </c>
      <c r="B165" s="290" t="s">
        <v>185</v>
      </c>
      <c r="C165" s="292">
        <v>41815</v>
      </c>
      <c r="D165" s="292">
        <v>41815</v>
      </c>
      <c r="E165" s="290" t="s">
        <v>186</v>
      </c>
      <c r="F165" s="290" t="s">
        <v>234</v>
      </c>
      <c r="G165" s="290" t="s">
        <v>233</v>
      </c>
      <c r="H165" s="290" t="s">
        <v>181</v>
      </c>
      <c r="I165" s="290" t="s">
        <v>182</v>
      </c>
      <c r="J165" s="290" t="s">
        <v>183</v>
      </c>
      <c r="K165" s="290" t="s">
        <v>183</v>
      </c>
      <c r="L165" s="293">
        <v>0</v>
      </c>
      <c r="M165" s="293">
        <v>0</v>
      </c>
      <c r="N165" s="293">
        <v>28.173999999999999</v>
      </c>
      <c r="O165" s="290" t="s">
        <v>184</v>
      </c>
      <c r="P165" s="293">
        <v>1720</v>
      </c>
      <c r="Q165" s="294">
        <v>1710.4</v>
      </c>
      <c r="R165" s="294">
        <v>578.9</v>
      </c>
      <c r="S165" s="294">
        <v>0</v>
      </c>
      <c r="T165" s="294">
        <v>0</v>
      </c>
      <c r="U165" s="294">
        <v>2289.3000000000002</v>
      </c>
    </row>
    <row r="166" spans="1:21" hidden="1" x14ac:dyDescent="0.25">
      <c r="A166" s="291">
        <v>1005974</v>
      </c>
      <c r="B166" s="290" t="s">
        <v>185</v>
      </c>
      <c r="C166" s="292">
        <v>41738</v>
      </c>
      <c r="D166" s="292">
        <v>41738</v>
      </c>
      <c r="E166" s="290" t="s">
        <v>186</v>
      </c>
      <c r="F166" s="290" t="s">
        <v>192</v>
      </c>
      <c r="G166" s="290" t="s">
        <v>233</v>
      </c>
      <c r="H166" s="290" t="s">
        <v>181</v>
      </c>
      <c r="I166" s="290" t="s">
        <v>182</v>
      </c>
      <c r="J166" s="290" t="s">
        <v>183</v>
      </c>
      <c r="K166" s="290" t="s">
        <v>183</v>
      </c>
      <c r="L166" s="293">
        <v>0</v>
      </c>
      <c r="M166" s="293">
        <v>0</v>
      </c>
      <c r="N166" s="293">
        <v>28.173999999999999</v>
      </c>
      <c r="O166" s="290" t="s">
        <v>184</v>
      </c>
      <c r="P166" s="293">
        <v>18</v>
      </c>
      <c r="Q166" s="294">
        <v>463.46</v>
      </c>
      <c r="R166" s="294">
        <v>89.82</v>
      </c>
      <c r="S166" s="294">
        <v>0</v>
      </c>
      <c r="T166" s="294">
        <v>0</v>
      </c>
      <c r="U166" s="294">
        <v>553.28</v>
      </c>
    </row>
    <row r="167" spans="1:21" hidden="1" x14ac:dyDescent="0.25">
      <c r="A167" s="291">
        <v>1001134</v>
      </c>
      <c r="B167" s="290" t="s">
        <v>185</v>
      </c>
      <c r="C167" s="292">
        <v>41715</v>
      </c>
      <c r="D167" s="292">
        <v>41715</v>
      </c>
      <c r="E167" s="290" t="s">
        <v>186</v>
      </c>
      <c r="F167" s="290" t="s">
        <v>192</v>
      </c>
      <c r="G167" s="290" t="s">
        <v>233</v>
      </c>
      <c r="H167" s="290" t="s">
        <v>181</v>
      </c>
      <c r="I167" s="290" t="s">
        <v>182</v>
      </c>
      <c r="J167" s="290" t="s">
        <v>183</v>
      </c>
      <c r="K167" s="290" t="s">
        <v>183</v>
      </c>
      <c r="L167" s="293">
        <v>0</v>
      </c>
      <c r="M167" s="293">
        <v>0</v>
      </c>
      <c r="N167" s="293">
        <v>28.173999999999999</v>
      </c>
      <c r="O167" s="290" t="s">
        <v>184</v>
      </c>
      <c r="P167" s="293">
        <v>6.25</v>
      </c>
      <c r="Q167" s="294">
        <v>103.2</v>
      </c>
      <c r="R167" s="294">
        <v>29.94</v>
      </c>
      <c r="S167" s="294">
        <v>0</v>
      </c>
      <c r="T167" s="294">
        <v>0</v>
      </c>
      <c r="U167" s="294">
        <v>133.13999999999999</v>
      </c>
    </row>
    <row r="168" spans="1:21" hidden="1" x14ac:dyDescent="0.25">
      <c r="A168" s="291">
        <v>977803</v>
      </c>
      <c r="B168" s="290" t="s">
        <v>185</v>
      </c>
      <c r="C168" s="292">
        <v>41562</v>
      </c>
      <c r="D168" s="292">
        <v>41562</v>
      </c>
      <c r="E168" s="290" t="s">
        <v>186</v>
      </c>
      <c r="F168" s="290" t="s">
        <v>192</v>
      </c>
      <c r="G168" s="290" t="s">
        <v>233</v>
      </c>
      <c r="H168" s="290" t="s">
        <v>181</v>
      </c>
      <c r="I168" s="290" t="s">
        <v>182</v>
      </c>
      <c r="J168" s="290" t="s">
        <v>183</v>
      </c>
      <c r="K168" s="290" t="s">
        <v>183</v>
      </c>
      <c r="L168" s="293">
        <v>0</v>
      </c>
      <c r="M168" s="293">
        <v>17.994</v>
      </c>
      <c r="N168" s="293">
        <v>17.994</v>
      </c>
      <c r="O168" s="290" t="s">
        <v>184</v>
      </c>
      <c r="P168" s="293">
        <v>6</v>
      </c>
      <c r="Q168" s="294">
        <v>154.80000000000001</v>
      </c>
      <c r="R168" s="294">
        <v>44.91</v>
      </c>
      <c r="S168" s="294">
        <v>0</v>
      </c>
      <c r="T168" s="294">
        <v>0</v>
      </c>
      <c r="U168" s="294">
        <v>199.71</v>
      </c>
    </row>
    <row r="169" spans="1:21" hidden="1" x14ac:dyDescent="0.25">
      <c r="A169" s="291">
        <v>976277</v>
      </c>
      <c r="B169" s="290" t="s">
        <v>185</v>
      </c>
      <c r="C169" s="292">
        <v>41555</v>
      </c>
      <c r="D169" s="292">
        <v>41555</v>
      </c>
      <c r="E169" s="290" t="s">
        <v>186</v>
      </c>
      <c r="F169" s="290" t="s">
        <v>192</v>
      </c>
      <c r="G169" s="290" t="s">
        <v>233</v>
      </c>
      <c r="H169" s="290" t="s">
        <v>181</v>
      </c>
      <c r="I169" s="290" t="s">
        <v>182</v>
      </c>
      <c r="J169" s="290" t="s">
        <v>183</v>
      </c>
      <c r="K169" s="290" t="s">
        <v>183</v>
      </c>
      <c r="L169" s="293">
        <v>0</v>
      </c>
      <c r="M169" s="293">
        <v>0</v>
      </c>
      <c r="N169" s="293">
        <v>28.173999999999999</v>
      </c>
      <c r="O169" s="290" t="s">
        <v>184</v>
      </c>
      <c r="P169" s="293">
        <v>4</v>
      </c>
      <c r="Q169" s="294">
        <v>103.2</v>
      </c>
      <c r="R169" s="294">
        <v>29.94</v>
      </c>
      <c r="S169" s="294">
        <v>0</v>
      </c>
      <c r="T169" s="294">
        <v>0</v>
      </c>
      <c r="U169" s="294">
        <v>133.13999999999999</v>
      </c>
    </row>
    <row r="170" spans="1:21" hidden="1" x14ac:dyDescent="0.25">
      <c r="A170" s="291">
        <v>965543</v>
      </c>
      <c r="B170" s="290" t="s">
        <v>185</v>
      </c>
      <c r="C170" s="292">
        <v>41506</v>
      </c>
      <c r="D170" s="292">
        <v>41506</v>
      </c>
      <c r="E170" s="290" t="s">
        <v>186</v>
      </c>
      <c r="F170" s="290" t="s">
        <v>234</v>
      </c>
      <c r="G170" s="290" t="s">
        <v>233</v>
      </c>
      <c r="H170" s="290" t="s">
        <v>181</v>
      </c>
      <c r="I170" s="290" t="s">
        <v>182</v>
      </c>
      <c r="J170" s="290" t="s">
        <v>183</v>
      </c>
      <c r="K170" s="290" t="s">
        <v>183</v>
      </c>
      <c r="L170" s="293">
        <v>0</v>
      </c>
      <c r="M170" s="293">
        <v>0</v>
      </c>
      <c r="N170" s="293">
        <v>28.173999999999999</v>
      </c>
      <c r="O170" s="290" t="s">
        <v>184</v>
      </c>
      <c r="P170" s="293">
        <v>725</v>
      </c>
      <c r="Q170" s="294">
        <v>1006.4</v>
      </c>
      <c r="R170" s="294">
        <v>785.4</v>
      </c>
      <c r="S170" s="294">
        <v>0</v>
      </c>
      <c r="T170" s="294">
        <v>0</v>
      </c>
      <c r="U170" s="294">
        <v>1791.8</v>
      </c>
    </row>
    <row r="171" spans="1:21" hidden="1" x14ac:dyDescent="0.25">
      <c r="A171" s="291">
        <v>954950</v>
      </c>
      <c r="B171" s="290" t="s">
        <v>185</v>
      </c>
      <c r="C171" s="292">
        <v>41464</v>
      </c>
      <c r="D171" s="292">
        <v>41464</v>
      </c>
      <c r="E171" s="290" t="s">
        <v>186</v>
      </c>
      <c r="F171" s="290" t="s">
        <v>192</v>
      </c>
      <c r="G171" s="290" t="s">
        <v>233</v>
      </c>
      <c r="H171" s="290" t="s">
        <v>181</v>
      </c>
      <c r="I171" s="290" t="s">
        <v>182</v>
      </c>
      <c r="J171" s="290" t="s">
        <v>183</v>
      </c>
      <c r="K171" s="290" t="s">
        <v>183</v>
      </c>
      <c r="L171" s="293">
        <v>0</v>
      </c>
      <c r="M171" s="293">
        <v>0</v>
      </c>
      <c r="N171" s="293">
        <v>28.173999999999999</v>
      </c>
      <c r="O171" s="290" t="s">
        <v>184</v>
      </c>
      <c r="P171" s="293">
        <v>10</v>
      </c>
      <c r="Q171" s="294">
        <v>230.48</v>
      </c>
      <c r="R171" s="294">
        <v>59.88</v>
      </c>
      <c r="S171" s="294">
        <v>0</v>
      </c>
      <c r="T171" s="294">
        <v>0</v>
      </c>
      <c r="U171" s="294">
        <v>290.36</v>
      </c>
    </row>
    <row r="172" spans="1:21" hidden="1" x14ac:dyDescent="0.25">
      <c r="A172" s="291">
        <v>947371</v>
      </c>
      <c r="B172" s="290" t="s">
        <v>185</v>
      </c>
      <c r="C172" s="292">
        <v>41431</v>
      </c>
      <c r="D172" s="292">
        <v>41431</v>
      </c>
      <c r="E172" s="290" t="s">
        <v>186</v>
      </c>
      <c r="F172" s="290" t="s">
        <v>192</v>
      </c>
      <c r="G172" s="290" t="s">
        <v>215</v>
      </c>
      <c r="H172" s="290" t="s">
        <v>181</v>
      </c>
      <c r="I172" s="290" t="s">
        <v>194</v>
      </c>
      <c r="J172" s="290" t="s">
        <v>183</v>
      </c>
      <c r="K172" s="290" t="s">
        <v>183</v>
      </c>
      <c r="L172" s="293">
        <v>0</v>
      </c>
      <c r="M172" s="293">
        <v>0</v>
      </c>
      <c r="N172" s="293">
        <v>3.4409999999999998</v>
      </c>
      <c r="O172" s="290" t="s">
        <v>184</v>
      </c>
      <c r="P172" s="293">
        <v>4.5</v>
      </c>
      <c r="Q172" s="294">
        <v>28.81</v>
      </c>
      <c r="R172" s="294">
        <v>7.49</v>
      </c>
      <c r="S172" s="294">
        <v>0</v>
      </c>
      <c r="T172" s="294">
        <v>0</v>
      </c>
      <c r="U172" s="294">
        <v>36.299999999999997</v>
      </c>
    </row>
    <row r="173" spans="1:21" hidden="1" x14ac:dyDescent="0.25">
      <c r="A173" s="291">
        <v>947141</v>
      </c>
      <c r="B173" s="290" t="s">
        <v>185</v>
      </c>
      <c r="C173" s="292">
        <v>41430</v>
      </c>
      <c r="D173" s="292">
        <v>41430</v>
      </c>
      <c r="E173" s="290" t="s">
        <v>186</v>
      </c>
      <c r="F173" s="290" t="s">
        <v>192</v>
      </c>
      <c r="G173" s="290" t="s">
        <v>233</v>
      </c>
      <c r="H173" s="290" t="s">
        <v>181</v>
      </c>
      <c r="I173" s="290" t="s">
        <v>182</v>
      </c>
      <c r="J173" s="290" t="s">
        <v>183</v>
      </c>
      <c r="K173" s="290" t="s">
        <v>183</v>
      </c>
      <c r="L173" s="293">
        <v>0</v>
      </c>
      <c r="M173" s="293">
        <v>0</v>
      </c>
      <c r="N173" s="293">
        <v>28.173999999999999</v>
      </c>
      <c r="O173" s="290" t="s">
        <v>184</v>
      </c>
      <c r="P173" s="293">
        <v>6.25</v>
      </c>
      <c r="Q173" s="294">
        <v>57.62</v>
      </c>
      <c r="R173" s="294">
        <v>14.97</v>
      </c>
      <c r="S173" s="294">
        <v>0</v>
      </c>
      <c r="T173" s="294">
        <v>0</v>
      </c>
      <c r="U173" s="294">
        <v>72.59</v>
      </c>
    </row>
    <row r="174" spans="1:21" hidden="1" x14ac:dyDescent="0.25">
      <c r="A174" s="291">
        <v>946488</v>
      </c>
      <c r="B174" s="290" t="s">
        <v>185</v>
      </c>
      <c r="C174" s="292">
        <v>41428</v>
      </c>
      <c r="D174" s="292">
        <v>41428</v>
      </c>
      <c r="E174" s="290" t="s">
        <v>186</v>
      </c>
      <c r="F174" s="290" t="s">
        <v>192</v>
      </c>
      <c r="G174" s="290" t="s">
        <v>233</v>
      </c>
      <c r="H174" s="290" t="s">
        <v>181</v>
      </c>
      <c r="I174" s="290" t="s">
        <v>182</v>
      </c>
      <c r="J174" s="290" t="s">
        <v>183</v>
      </c>
      <c r="K174" s="290" t="s">
        <v>183</v>
      </c>
      <c r="L174" s="293">
        <v>0</v>
      </c>
      <c r="M174" s="293">
        <v>0</v>
      </c>
      <c r="N174" s="293">
        <v>28.173999999999999</v>
      </c>
      <c r="O174" s="290" t="s">
        <v>184</v>
      </c>
      <c r="P174" s="293">
        <v>9.24</v>
      </c>
      <c r="Q174" s="294">
        <v>115.24</v>
      </c>
      <c r="R174" s="294">
        <v>29.94</v>
      </c>
      <c r="S174" s="294">
        <v>0</v>
      </c>
      <c r="T174" s="294">
        <v>0</v>
      </c>
      <c r="U174" s="294">
        <v>145.18</v>
      </c>
    </row>
    <row r="175" spans="1:21" hidden="1" x14ac:dyDescent="0.25">
      <c r="A175" s="291">
        <v>936080</v>
      </c>
      <c r="B175" s="290" t="s">
        <v>185</v>
      </c>
      <c r="C175" s="292">
        <v>41387</v>
      </c>
      <c r="D175" s="292">
        <v>41388</v>
      </c>
      <c r="E175" s="290" t="s">
        <v>186</v>
      </c>
      <c r="F175" s="290" t="s">
        <v>192</v>
      </c>
      <c r="G175" s="290" t="s">
        <v>233</v>
      </c>
      <c r="H175" s="290" t="s">
        <v>181</v>
      </c>
      <c r="I175" s="290" t="s">
        <v>182</v>
      </c>
      <c r="J175" s="290" t="s">
        <v>183</v>
      </c>
      <c r="K175" s="290" t="s">
        <v>183</v>
      </c>
      <c r="L175" s="293">
        <v>0</v>
      </c>
      <c r="M175" s="293">
        <v>0</v>
      </c>
      <c r="N175" s="293">
        <v>28.173999999999999</v>
      </c>
      <c r="O175" s="290" t="s">
        <v>184</v>
      </c>
      <c r="P175" s="293">
        <v>46</v>
      </c>
      <c r="Q175" s="294">
        <v>460.96</v>
      </c>
      <c r="R175" s="294">
        <v>0</v>
      </c>
      <c r="S175" s="294">
        <v>0</v>
      </c>
      <c r="T175" s="294">
        <v>0</v>
      </c>
      <c r="U175" s="294">
        <v>460.96</v>
      </c>
    </row>
    <row r="176" spans="1:21" hidden="1" x14ac:dyDescent="0.25">
      <c r="A176" s="291">
        <v>932956</v>
      </c>
      <c r="B176" s="290" t="s">
        <v>185</v>
      </c>
      <c r="C176" s="292">
        <v>41374</v>
      </c>
      <c r="D176" s="292">
        <v>41375</v>
      </c>
      <c r="E176" s="290" t="s">
        <v>186</v>
      </c>
      <c r="F176" s="290" t="s">
        <v>192</v>
      </c>
      <c r="G176" s="290" t="s">
        <v>233</v>
      </c>
      <c r="H176" s="290" t="s">
        <v>181</v>
      </c>
      <c r="I176" s="290" t="s">
        <v>182</v>
      </c>
      <c r="J176" s="290" t="s">
        <v>183</v>
      </c>
      <c r="K176" s="290" t="s">
        <v>183</v>
      </c>
      <c r="L176" s="293">
        <v>0</v>
      </c>
      <c r="M176" s="293">
        <v>0</v>
      </c>
      <c r="N176" s="293">
        <v>28.173999999999999</v>
      </c>
      <c r="O176" s="290" t="s">
        <v>184</v>
      </c>
      <c r="P176" s="293">
        <v>32</v>
      </c>
      <c r="Q176" s="294">
        <v>450.56</v>
      </c>
      <c r="R176" s="294">
        <v>119.76</v>
      </c>
      <c r="S176" s="294">
        <v>0</v>
      </c>
      <c r="T176" s="294">
        <v>0</v>
      </c>
      <c r="U176" s="294">
        <v>570.32000000000005</v>
      </c>
    </row>
    <row r="177" spans="1:21" hidden="1" x14ac:dyDescent="0.25">
      <c r="A177" s="291">
        <v>916294</v>
      </c>
      <c r="B177" s="290" t="s">
        <v>177</v>
      </c>
      <c r="C177" s="292">
        <v>41293</v>
      </c>
      <c r="D177" s="292">
        <v>41943</v>
      </c>
      <c r="E177" s="290" t="s">
        <v>235</v>
      </c>
      <c r="F177" s="290" t="s">
        <v>209</v>
      </c>
      <c r="G177" s="290" t="s">
        <v>236</v>
      </c>
      <c r="H177" s="290" t="s">
        <v>237</v>
      </c>
      <c r="I177" s="290" t="s">
        <v>182</v>
      </c>
      <c r="J177" s="290" t="s">
        <v>183</v>
      </c>
      <c r="K177" s="290" t="s">
        <v>183</v>
      </c>
      <c r="L177" s="293">
        <v>0</v>
      </c>
      <c r="M177" s="293">
        <v>29.643999999999998</v>
      </c>
      <c r="N177" s="293">
        <v>38.479999999999997</v>
      </c>
      <c r="O177" s="290" t="s">
        <v>184</v>
      </c>
      <c r="P177" s="293">
        <v>1</v>
      </c>
      <c r="Q177" s="294">
        <v>21294.16</v>
      </c>
      <c r="R177" s="294">
        <v>7628.15</v>
      </c>
      <c r="S177" s="294">
        <v>11029.45</v>
      </c>
      <c r="T177" s="294">
        <v>76901.42</v>
      </c>
      <c r="U177" s="294">
        <v>116853.18</v>
      </c>
    </row>
    <row r="178" spans="1:21" hidden="1" x14ac:dyDescent="0.25">
      <c r="A178" s="291">
        <v>915525</v>
      </c>
      <c r="B178" s="290" t="s">
        <v>177</v>
      </c>
      <c r="C178" s="292">
        <v>41291</v>
      </c>
      <c r="D178" s="292">
        <v>41304</v>
      </c>
      <c r="E178" s="290" t="s">
        <v>190</v>
      </c>
      <c r="F178" s="290" t="s">
        <v>209</v>
      </c>
      <c r="G178" s="290" t="s">
        <v>236</v>
      </c>
      <c r="H178" s="290" t="s">
        <v>181</v>
      </c>
      <c r="I178" s="290" t="s">
        <v>182</v>
      </c>
      <c r="J178" s="290" t="s">
        <v>183</v>
      </c>
      <c r="K178" s="290" t="s">
        <v>183</v>
      </c>
      <c r="L178" s="293">
        <v>0</v>
      </c>
      <c r="M178" s="293">
        <v>29.643999999999998</v>
      </c>
      <c r="N178" s="293">
        <v>38.479999999999997</v>
      </c>
      <c r="O178" s="290" t="s">
        <v>184</v>
      </c>
      <c r="P178" s="293">
        <v>0</v>
      </c>
      <c r="Q178" s="294">
        <v>3313.46</v>
      </c>
      <c r="R178" s="294">
        <v>1503.33</v>
      </c>
      <c r="S178" s="294">
        <v>0</v>
      </c>
      <c r="T178" s="294">
        <v>10</v>
      </c>
      <c r="U178" s="294">
        <v>4826.79</v>
      </c>
    </row>
    <row r="179" spans="1:21" hidden="1" x14ac:dyDescent="0.25">
      <c r="A179" s="291">
        <v>911403</v>
      </c>
      <c r="B179" s="290" t="s">
        <v>185</v>
      </c>
      <c r="C179" s="292">
        <v>41276</v>
      </c>
      <c r="D179" s="292">
        <v>41277</v>
      </c>
      <c r="E179" s="290" t="s">
        <v>186</v>
      </c>
      <c r="F179" s="290" t="s">
        <v>192</v>
      </c>
      <c r="G179" s="290" t="s">
        <v>233</v>
      </c>
      <c r="H179" s="290" t="s">
        <v>181</v>
      </c>
      <c r="I179" s="290" t="s">
        <v>182</v>
      </c>
      <c r="J179" s="290" t="s">
        <v>183</v>
      </c>
      <c r="K179" s="290" t="s">
        <v>183</v>
      </c>
      <c r="L179" s="293">
        <v>0</v>
      </c>
      <c r="M179" s="293">
        <v>0</v>
      </c>
      <c r="N179" s="293">
        <v>28.173999999999999</v>
      </c>
      <c r="O179" s="290" t="s">
        <v>184</v>
      </c>
      <c r="P179" s="293">
        <v>12</v>
      </c>
      <c r="Q179" s="294">
        <v>56.32</v>
      </c>
      <c r="R179" s="294">
        <v>12.22</v>
      </c>
      <c r="S179" s="294">
        <v>0</v>
      </c>
      <c r="T179" s="294">
        <v>0</v>
      </c>
      <c r="U179" s="294">
        <v>68.540000000000006</v>
      </c>
    </row>
    <row r="180" spans="1:21" hidden="1" x14ac:dyDescent="0.25">
      <c r="A180" s="291">
        <v>893737</v>
      </c>
      <c r="B180" s="290" t="s">
        <v>185</v>
      </c>
      <c r="C180" s="292">
        <v>41176</v>
      </c>
      <c r="D180" s="292">
        <v>41179</v>
      </c>
      <c r="E180" s="290" t="s">
        <v>186</v>
      </c>
      <c r="F180" s="290" t="s">
        <v>192</v>
      </c>
      <c r="G180" s="290" t="s">
        <v>233</v>
      </c>
      <c r="H180" s="290" t="s">
        <v>181</v>
      </c>
      <c r="I180" s="290" t="s">
        <v>182</v>
      </c>
      <c r="J180" s="290" t="s">
        <v>183</v>
      </c>
      <c r="K180" s="290" t="s">
        <v>183</v>
      </c>
      <c r="L180" s="293">
        <v>0</v>
      </c>
      <c r="M180" s="293">
        <v>0</v>
      </c>
      <c r="N180" s="293">
        <v>28.173999999999999</v>
      </c>
      <c r="O180" s="290" t="s">
        <v>184</v>
      </c>
      <c r="P180" s="293">
        <v>6.25</v>
      </c>
      <c r="Q180" s="294">
        <v>51.74</v>
      </c>
      <c r="R180" s="294">
        <v>12.22</v>
      </c>
      <c r="S180" s="294">
        <v>0</v>
      </c>
      <c r="T180" s="294">
        <v>0</v>
      </c>
      <c r="U180" s="294">
        <v>63.96</v>
      </c>
    </row>
    <row r="181" spans="1:21" hidden="1" x14ac:dyDescent="0.25">
      <c r="A181" s="291">
        <v>881543</v>
      </c>
      <c r="B181" s="290" t="s">
        <v>185</v>
      </c>
      <c r="C181" s="292">
        <v>41127</v>
      </c>
      <c r="D181" s="292">
        <v>41129</v>
      </c>
      <c r="E181" s="290" t="s">
        <v>186</v>
      </c>
      <c r="F181" s="290" t="s">
        <v>192</v>
      </c>
      <c r="G181" s="290" t="s">
        <v>215</v>
      </c>
      <c r="H181" s="290" t="s">
        <v>181</v>
      </c>
      <c r="I181" s="290" t="s">
        <v>194</v>
      </c>
      <c r="J181" s="290" t="s">
        <v>183</v>
      </c>
      <c r="K181" s="290" t="s">
        <v>183</v>
      </c>
      <c r="L181" s="293">
        <v>0</v>
      </c>
      <c r="M181" s="293">
        <v>0</v>
      </c>
      <c r="N181" s="293">
        <v>3.4409999999999998</v>
      </c>
      <c r="O181" s="290" t="s">
        <v>184</v>
      </c>
      <c r="P181" s="293">
        <v>29</v>
      </c>
      <c r="Q181" s="294">
        <v>258.7</v>
      </c>
      <c r="R181" s="294">
        <v>61.1</v>
      </c>
      <c r="S181" s="294">
        <v>0</v>
      </c>
      <c r="T181" s="294">
        <v>0</v>
      </c>
      <c r="U181" s="294">
        <v>319.8</v>
      </c>
    </row>
    <row r="182" spans="1:21" hidden="1" x14ac:dyDescent="0.25">
      <c r="A182" s="291">
        <v>880256</v>
      </c>
      <c r="B182" s="290" t="s">
        <v>185</v>
      </c>
      <c r="C182" s="292">
        <v>41122</v>
      </c>
      <c r="D182" s="292">
        <v>41123</v>
      </c>
      <c r="E182" s="290" t="s">
        <v>186</v>
      </c>
      <c r="F182" s="290" t="s">
        <v>192</v>
      </c>
      <c r="G182" s="290" t="s">
        <v>233</v>
      </c>
      <c r="H182" s="290" t="s">
        <v>181</v>
      </c>
      <c r="I182" s="290" t="s">
        <v>182</v>
      </c>
      <c r="J182" s="290" t="s">
        <v>183</v>
      </c>
      <c r="K182" s="290" t="s">
        <v>183</v>
      </c>
      <c r="L182" s="293">
        <v>0</v>
      </c>
      <c r="M182" s="293">
        <v>0</v>
      </c>
      <c r="N182" s="293">
        <v>28.173999999999999</v>
      </c>
      <c r="O182" s="290" t="s">
        <v>184</v>
      </c>
      <c r="P182" s="293">
        <v>13.25</v>
      </c>
      <c r="Q182" s="294">
        <v>51.74</v>
      </c>
      <c r="R182" s="294">
        <v>36.69</v>
      </c>
      <c r="S182" s="294">
        <v>0</v>
      </c>
      <c r="T182" s="294">
        <v>0</v>
      </c>
      <c r="U182" s="294">
        <v>88.43</v>
      </c>
    </row>
    <row r="183" spans="1:21" hidden="1" x14ac:dyDescent="0.25">
      <c r="A183" s="291">
        <v>877302</v>
      </c>
      <c r="B183" s="290" t="s">
        <v>185</v>
      </c>
      <c r="C183" s="292">
        <v>41109</v>
      </c>
      <c r="D183" s="292">
        <v>41110</v>
      </c>
      <c r="E183" s="290" t="s">
        <v>238</v>
      </c>
      <c r="F183" s="290" t="s">
        <v>234</v>
      </c>
      <c r="G183" s="290" t="s">
        <v>233</v>
      </c>
      <c r="H183" s="290" t="s">
        <v>181</v>
      </c>
      <c r="I183" s="290" t="s">
        <v>182</v>
      </c>
      <c r="J183" s="290" t="s">
        <v>183</v>
      </c>
      <c r="K183" s="290" t="s">
        <v>183</v>
      </c>
      <c r="L183" s="293">
        <v>0</v>
      </c>
      <c r="M183" s="293">
        <v>0</v>
      </c>
      <c r="N183" s="293">
        <v>28.173999999999999</v>
      </c>
      <c r="O183" s="290" t="s">
        <v>184</v>
      </c>
      <c r="P183" s="293">
        <v>200</v>
      </c>
      <c r="Q183" s="294">
        <v>1293.5</v>
      </c>
      <c r="R183" s="294">
        <v>205</v>
      </c>
      <c r="S183" s="294">
        <v>0</v>
      </c>
      <c r="T183" s="294">
        <v>0</v>
      </c>
      <c r="U183" s="294">
        <v>1498.5</v>
      </c>
    </row>
    <row r="184" spans="1:21" hidden="1" x14ac:dyDescent="0.25">
      <c r="A184" s="291">
        <v>876945</v>
      </c>
      <c r="B184" s="290" t="s">
        <v>185</v>
      </c>
      <c r="C184" s="292">
        <v>41108</v>
      </c>
      <c r="D184" s="292">
        <v>41109</v>
      </c>
      <c r="E184" s="290" t="s">
        <v>238</v>
      </c>
      <c r="F184" s="290" t="s">
        <v>234</v>
      </c>
      <c r="G184" s="290" t="s">
        <v>233</v>
      </c>
      <c r="H184" s="290" t="s">
        <v>181</v>
      </c>
      <c r="I184" s="290" t="s">
        <v>182</v>
      </c>
      <c r="J184" s="290" t="s">
        <v>183</v>
      </c>
      <c r="K184" s="290" t="s">
        <v>183</v>
      </c>
      <c r="L184" s="293">
        <v>0</v>
      </c>
      <c r="M184" s="293">
        <v>0</v>
      </c>
      <c r="N184" s="293">
        <v>28.173999999999999</v>
      </c>
      <c r="O184" s="290" t="s">
        <v>184</v>
      </c>
      <c r="P184" s="293">
        <v>300</v>
      </c>
      <c r="Q184" s="294">
        <v>1293.5</v>
      </c>
      <c r="R184" s="294">
        <v>205</v>
      </c>
      <c r="S184" s="294">
        <v>0</v>
      </c>
      <c r="T184" s="294">
        <v>0</v>
      </c>
      <c r="U184" s="294">
        <v>1498.5</v>
      </c>
    </row>
    <row r="185" spans="1:21" hidden="1" x14ac:dyDescent="0.25">
      <c r="A185" s="291">
        <v>876712</v>
      </c>
      <c r="B185" s="290" t="s">
        <v>185</v>
      </c>
      <c r="C185" s="292">
        <v>41107</v>
      </c>
      <c r="D185" s="292">
        <v>41108</v>
      </c>
      <c r="E185" s="290" t="s">
        <v>238</v>
      </c>
      <c r="F185" s="290" t="s">
        <v>234</v>
      </c>
      <c r="G185" s="290" t="s">
        <v>233</v>
      </c>
      <c r="H185" s="290" t="s">
        <v>181</v>
      </c>
      <c r="I185" s="290" t="s">
        <v>182</v>
      </c>
      <c r="J185" s="290" t="s">
        <v>183</v>
      </c>
      <c r="K185" s="290" t="s">
        <v>183</v>
      </c>
      <c r="L185" s="293">
        <v>0</v>
      </c>
      <c r="M185" s="293">
        <v>0</v>
      </c>
      <c r="N185" s="293">
        <v>28.173999999999999</v>
      </c>
      <c r="O185" s="290" t="s">
        <v>184</v>
      </c>
      <c r="P185" s="293">
        <v>137.5</v>
      </c>
      <c r="Q185" s="294">
        <v>711.43</v>
      </c>
      <c r="R185" s="294">
        <v>112.75</v>
      </c>
      <c r="S185" s="294">
        <v>0</v>
      </c>
      <c r="T185" s="294">
        <v>0</v>
      </c>
      <c r="U185" s="294">
        <v>824.18</v>
      </c>
    </row>
    <row r="186" spans="1:21" hidden="1" x14ac:dyDescent="0.25">
      <c r="A186" s="291">
        <v>876712</v>
      </c>
      <c r="B186" s="290" t="s">
        <v>185</v>
      </c>
      <c r="C186" s="292">
        <v>41107</v>
      </c>
      <c r="D186" s="292">
        <v>41108</v>
      </c>
      <c r="E186" s="290" t="s">
        <v>238</v>
      </c>
      <c r="F186" s="290" t="s">
        <v>234</v>
      </c>
      <c r="G186" s="290" t="s">
        <v>233</v>
      </c>
      <c r="H186" s="290" t="s">
        <v>181</v>
      </c>
      <c r="I186" s="290" t="s">
        <v>182</v>
      </c>
      <c r="J186" s="290" t="s">
        <v>183</v>
      </c>
      <c r="K186" s="290" t="s">
        <v>183</v>
      </c>
      <c r="L186" s="293">
        <v>0</v>
      </c>
      <c r="M186" s="293">
        <v>0</v>
      </c>
      <c r="N186" s="293">
        <v>28.173999999999999</v>
      </c>
      <c r="O186" s="290" t="s">
        <v>184</v>
      </c>
      <c r="P186" s="293">
        <v>137.5</v>
      </c>
      <c r="Q186" s="294">
        <v>711.43</v>
      </c>
      <c r="R186" s="294">
        <v>112.75</v>
      </c>
      <c r="S186" s="294">
        <v>0</v>
      </c>
      <c r="T186" s="294">
        <v>0</v>
      </c>
      <c r="U186" s="294">
        <v>824.18</v>
      </c>
    </row>
    <row r="187" spans="1:21" hidden="1" x14ac:dyDescent="0.25">
      <c r="A187" s="291">
        <v>874794</v>
      </c>
      <c r="B187" s="290" t="s">
        <v>185</v>
      </c>
      <c r="C187" s="292">
        <v>41100</v>
      </c>
      <c r="D187" s="292">
        <v>41101</v>
      </c>
      <c r="E187" s="290" t="s">
        <v>238</v>
      </c>
      <c r="F187" s="290" t="s">
        <v>234</v>
      </c>
      <c r="G187" s="290" t="s">
        <v>233</v>
      </c>
      <c r="H187" s="290" t="s">
        <v>181</v>
      </c>
      <c r="I187" s="290" t="s">
        <v>182</v>
      </c>
      <c r="J187" s="290" t="s">
        <v>183</v>
      </c>
      <c r="K187" s="290" t="s">
        <v>183</v>
      </c>
      <c r="L187" s="293">
        <v>0</v>
      </c>
      <c r="M187" s="293">
        <v>0</v>
      </c>
      <c r="N187" s="293">
        <v>28.173999999999999</v>
      </c>
      <c r="O187" s="290" t="s">
        <v>184</v>
      </c>
      <c r="P187" s="293">
        <v>300</v>
      </c>
      <c r="Q187" s="294">
        <v>1293.5</v>
      </c>
      <c r="R187" s="294">
        <v>830</v>
      </c>
      <c r="S187" s="294">
        <v>0</v>
      </c>
      <c r="T187" s="294">
        <v>0</v>
      </c>
      <c r="U187" s="294">
        <v>2123.5</v>
      </c>
    </row>
    <row r="188" spans="1:21" hidden="1" x14ac:dyDescent="0.25">
      <c r="A188" s="291">
        <v>870241</v>
      </c>
      <c r="B188" s="290" t="s">
        <v>185</v>
      </c>
      <c r="C188" s="292">
        <v>41079</v>
      </c>
      <c r="D188" s="292">
        <v>41080</v>
      </c>
      <c r="E188" s="290" t="s">
        <v>238</v>
      </c>
      <c r="F188" s="290" t="s">
        <v>192</v>
      </c>
      <c r="G188" s="290" t="s">
        <v>233</v>
      </c>
      <c r="H188" s="290" t="s">
        <v>181</v>
      </c>
      <c r="I188" s="290" t="s">
        <v>182</v>
      </c>
      <c r="J188" s="290" t="s">
        <v>183</v>
      </c>
      <c r="K188" s="290" t="s">
        <v>183</v>
      </c>
      <c r="L188" s="293">
        <v>0</v>
      </c>
      <c r="M188" s="293">
        <v>0</v>
      </c>
      <c r="N188" s="293">
        <v>28.173999999999999</v>
      </c>
      <c r="O188" s="290" t="s">
        <v>184</v>
      </c>
      <c r="P188" s="293">
        <v>29</v>
      </c>
      <c r="Q188" s="294">
        <v>413.92</v>
      </c>
      <c r="R188" s="294">
        <v>97.76</v>
      </c>
      <c r="S188" s="294">
        <v>0</v>
      </c>
      <c r="T188" s="294">
        <v>0</v>
      </c>
      <c r="U188" s="294">
        <v>511.68</v>
      </c>
    </row>
    <row r="189" spans="1:21" hidden="1" x14ac:dyDescent="0.25">
      <c r="A189" s="291">
        <v>869916</v>
      </c>
      <c r="B189" s="290" t="s">
        <v>185</v>
      </c>
      <c r="C189" s="292">
        <v>41078</v>
      </c>
      <c r="D189" s="292">
        <v>41079</v>
      </c>
      <c r="E189" s="290" t="s">
        <v>238</v>
      </c>
      <c r="F189" s="290" t="s">
        <v>192</v>
      </c>
      <c r="G189" s="290" t="s">
        <v>233</v>
      </c>
      <c r="H189" s="290" t="s">
        <v>181</v>
      </c>
      <c r="I189" s="290" t="s">
        <v>182</v>
      </c>
      <c r="J189" s="290" t="s">
        <v>183</v>
      </c>
      <c r="K189" s="290" t="s">
        <v>183</v>
      </c>
      <c r="L189" s="293">
        <v>0</v>
      </c>
      <c r="M189" s="293">
        <v>0</v>
      </c>
      <c r="N189" s="293">
        <v>28.173999999999999</v>
      </c>
      <c r="O189" s="290" t="s">
        <v>184</v>
      </c>
      <c r="P189" s="293">
        <v>43.5</v>
      </c>
      <c r="Q189" s="294">
        <v>206.96</v>
      </c>
      <c r="R189" s="294">
        <v>48.88</v>
      </c>
      <c r="S189" s="294">
        <v>0</v>
      </c>
      <c r="T189" s="294">
        <v>0</v>
      </c>
      <c r="U189" s="294">
        <v>255.84</v>
      </c>
    </row>
    <row r="190" spans="1:21" hidden="1" x14ac:dyDescent="0.25">
      <c r="A190" s="291">
        <v>869916</v>
      </c>
      <c r="B190" s="290" t="s">
        <v>185</v>
      </c>
      <c r="C190" s="292">
        <v>41078</v>
      </c>
      <c r="D190" s="292">
        <v>41079</v>
      </c>
      <c r="E190" s="290" t="s">
        <v>238</v>
      </c>
      <c r="F190" s="290" t="s">
        <v>192</v>
      </c>
      <c r="G190" s="290" t="s">
        <v>239</v>
      </c>
      <c r="H190" s="290" t="s">
        <v>181</v>
      </c>
      <c r="I190" s="290" t="s">
        <v>182</v>
      </c>
      <c r="J190" s="290" t="s">
        <v>183</v>
      </c>
      <c r="K190" s="290" t="s">
        <v>183</v>
      </c>
      <c r="L190" s="293">
        <v>0</v>
      </c>
      <c r="M190" s="293">
        <v>29.643999999999998</v>
      </c>
      <c r="N190" s="293">
        <v>38.479999999999997</v>
      </c>
      <c r="O190" s="290" t="s">
        <v>184</v>
      </c>
      <c r="P190" s="293">
        <v>43.5</v>
      </c>
      <c r="Q190" s="294">
        <v>206.96</v>
      </c>
      <c r="R190" s="294">
        <v>48.88</v>
      </c>
      <c r="S190" s="294">
        <v>0</v>
      </c>
      <c r="T190" s="294">
        <v>0</v>
      </c>
      <c r="U190" s="294">
        <v>255.84</v>
      </c>
    </row>
    <row r="191" spans="1:21" hidden="1" x14ac:dyDescent="0.25">
      <c r="A191" s="291">
        <v>869915</v>
      </c>
      <c r="B191" s="290" t="s">
        <v>185</v>
      </c>
      <c r="C191" s="292">
        <v>41078</v>
      </c>
      <c r="D191" s="292">
        <v>41079</v>
      </c>
      <c r="E191" s="290" t="s">
        <v>238</v>
      </c>
      <c r="F191" s="290" t="s">
        <v>192</v>
      </c>
      <c r="G191" s="290" t="s">
        <v>233</v>
      </c>
      <c r="H191" s="290" t="s">
        <v>181</v>
      </c>
      <c r="I191" s="290" t="s">
        <v>182</v>
      </c>
      <c r="J191" s="290" t="s">
        <v>183</v>
      </c>
      <c r="K191" s="290" t="s">
        <v>183</v>
      </c>
      <c r="L191" s="293">
        <v>0</v>
      </c>
      <c r="M191" s="293">
        <v>0</v>
      </c>
      <c r="N191" s="293">
        <v>28.173999999999999</v>
      </c>
      <c r="O191" s="290" t="s">
        <v>184</v>
      </c>
      <c r="P191" s="293">
        <v>17.25</v>
      </c>
      <c r="Q191" s="294">
        <v>206.96</v>
      </c>
      <c r="R191" s="294">
        <v>50.6</v>
      </c>
      <c r="S191" s="294">
        <v>0</v>
      </c>
      <c r="T191" s="294">
        <v>0</v>
      </c>
      <c r="U191" s="294">
        <v>257.56</v>
      </c>
    </row>
    <row r="192" spans="1:21" hidden="1" x14ac:dyDescent="0.25">
      <c r="A192" s="291">
        <v>869915</v>
      </c>
      <c r="B192" s="290" t="s">
        <v>185</v>
      </c>
      <c r="C192" s="292">
        <v>41078</v>
      </c>
      <c r="D192" s="292">
        <v>41079</v>
      </c>
      <c r="E192" s="290" t="s">
        <v>238</v>
      </c>
      <c r="F192" s="290" t="s">
        <v>192</v>
      </c>
      <c r="G192" s="290" t="s">
        <v>239</v>
      </c>
      <c r="H192" s="290" t="s">
        <v>181</v>
      </c>
      <c r="I192" s="290" t="s">
        <v>182</v>
      </c>
      <c r="J192" s="290" t="s">
        <v>183</v>
      </c>
      <c r="K192" s="290" t="s">
        <v>183</v>
      </c>
      <c r="L192" s="293">
        <v>0</v>
      </c>
      <c r="M192" s="293">
        <v>29.643999999999998</v>
      </c>
      <c r="N192" s="293">
        <v>38.479999999999997</v>
      </c>
      <c r="O192" s="290" t="s">
        <v>184</v>
      </c>
      <c r="P192" s="293">
        <v>17.25</v>
      </c>
      <c r="Q192" s="294">
        <v>206.96</v>
      </c>
      <c r="R192" s="294">
        <v>50.6</v>
      </c>
      <c r="S192" s="294">
        <v>0</v>
      </c>
      <c r="T192" s="294">
        <v>0</v>
      </c>
      <c r="U192" s="294">
        <v>257.56</v>
      </c>
    </row>
    <row r="193" spans="1:21" hidden="1" x14ac:dyDescent="0.25">
      <c r="A193" s="291">
        <v>869914</v>
      </c>
      <c r="B193" s="290" t="s">
        <v>185</v>
      </c>
      <c r="C193" s="292">
        <v>41078</v>
      </c>
      <c r="D193" s="292">
        <v>41079</v>
      </c>
      <c r="E193" s="290" t="s">
        <v>238</v>
      </c>
      <c r="F193" s="290" t="s">
        <v>192</v>
      </c>
      <c r="G193" s="290" t="s">
        <v>233</v>
      </c>
      <c r="H193" s="290" t="s">
        <v>181</v>
      </c>
      <c r="I193" s="290" t="s">
        <v>182</v>
      </c>
      <c r="J193" s="290" t="s">
        <v>183</v>
      </c>
      <c r="K193" s="290" t="s">
        <v>183</v>
      </c>
      <c r="L193" s="293">
        <v>0</v>
      </c>
      <c r="M193" s="293">
        <v>0</v>
      </c>
      <c r="N193" s="293">
        <v>28.173999999999999</v>
      </c>
      <c r="O193" s="290" t="s">
        <v>184</v>
      </c>
      <c r="P193" s="293">
        <v>39</v>
      </c>
      <c r="Q193" s="294">
        <v>206.96</v>
      </c>
      <c r="R193" s="294">
        <v>50.6</v>
      </c>
      <c r="S193" s="294">
        <v>0</v>
      </c>
      <c r="T193" s="294">
        <v>0</v>
      </c>
      <c r="U193" s="294">
        <v>257.56</v>
      </c>
    </row>
    <row r="194" spans="1:21" hidden="1" x14ac:dyDescent="0.25">
      <c r="A194" s="291">
        <v>869914</v>
      </c>
      <c r="B194" s="290" t="s">
        <v>185</v>
      </c>
      <c r="C194" s="292">
        <v>41078</v>
      </c>
      <c r="D194" s="292">
        <v>41079</v>
      </c>
      <c r="E194" s="290" t="s">
        <v>238</v>
      </c>
      <c r="F194" s="290" t="s">
        <v>192</v>
      </c>
      <c r="G194" s="290" t="s">
        <v>239</v>
      </c>
      <c r="H194" s="290" t="s">
        <v>181</v>
      </c>
      <c r="I194" s="290" t="s">
        <v>182</v>
      </c>
      <c r="J194" s="290" t="s">
        <v>183</v>
      </c>
      <c r="K194" s="290" t="s">
        <v>183</v>
      </c>
      <c r="L194" s="293">
        <v>0</v>
      </c>
      <c r="M194" s="293">
        <v>29.643999999999998</v>
      </c>
      <c r="N194" s="293">
        <v>38.479999999999997</v>
      </c>
      <c r="O194" s="290" t="s">
        <v>184</v>
      </c>
      <c r="P194" s="293">
        <v>39</v>
      </c>
      <c r="Q194" s="294">
        <v>206.96</v>
      </c>
      <c r="R194" s="294">
        <v>50.6</v>
      </c>
      <c r="S194" s="294">
        <v>0</v>
      </c>
      <c r="T194" s="294">
        <v>0</v>
      </c>
      <c r="U194" s="294">
        <v>257.56</v>
      </c>
    </row>
    <row r="195" spans="1:21" hidden="1" x14ac:dyDescent="0.25">
      <c r="A195" s="291">
        <v>868106</v>
      </c>
      <c r="B195" s="290" t="s">
        <v>185</v>
      </c>
      <c r="C195" s="292">
        <v>41071</v>
      </c>
      <c r="D195" s="292">
        <v>41072</v>
      </c>
      <c r="E195" s="290" t="s">
        <v>186</v>
      </c>
      <c r="F195" s="290" t="s">
        <v>192</v>
      </c>
      <c r="G195" s="290" t="s">
        <v>233</v>
      </c>
      <c r="H195" s="290" t="s">
        <v>181</v>
      </c>
      <c r="I195" s="290" t="s">
        <v>182</v>
      </c>
      <c r="J195" s="290" t="s">
        <v>183</v>
      </c>
      <c r="K195" s="290" t="s">
        <v>183</v>
      </c>
      <c r="L195" s="293">
        <v>0</v>
      </c>
      <c r="M195" s="293">
        <v>0</v>
      </c>
      <c r="N195" s="293">
        <v>28.173999999999999</v>
      </c>
      <c r="O195" s="290" t="s">
        <v>184</v>
      </c>
      <c r="P195" s="293">
        <v>0</v>
      </c>
      <c r="Q195" s="294">
        <v>155.22</v>
      </c>
      <c r="R195" s="294">
        <v>36.659999999999997</v>
      </c>
      <c r="S195" s="294">
        <v>0</v>
      </c>
      <c r="T195" s="294">
        <v>0</v>
      </c>
      <c r="U195" s="294">
        <v>191.88</v>
      </c>
    </row>
    <row r="196" spans="1:21" hidden="1" x14ac:dyDescent="0.25">
      <c r="A196" s="291">
        <v>867525</v>
      </c>
      <c r="B196" s="290" t="s">
        <v>185</v>
      </c>
      <c r="C196" s="292">
        <v>41067</v>
      </c>
      <c r="D196" s="292">
        <v>41068</v>
      </c>
      <c r="E196" s="290" t="s">
        <v>186</v>
      </c>
      <c r="F196" s="290" t="s">
        <v>192</v>
      </c>
      <c r="G196" s="290" t="s">
        <v>233</v>
      </c>
      <c r="H196" s="290" t="s">
        <v>181</v>
      </c>
      <c r="I196" s="290" t="s">
        <v>182</v>
      </c>
      <c r="J196" s="290" t="s">
        <v>183</v>
      </c>
      <c r="K196" s="290" t="s">
        <v>183</v>
      </c>
      <c r="L196" s="293">
        <v>0</v>
      </c>
      <c r="M196" s="293">
        <v>0</v>
      </c>
      <c r="N196" s="293">
        <v>28.173999999999999</v>
      </c>
      <c r="O196" s="290" t="s">
        <v>184</v>
      </c>
      <c r="P196" s="293">
        <v>15.5</v>
      </c>
      <c r="Q196" s="294">
        <v>155.22</v>
      </c>
      <c r="R196" s="294">
        <v>36.659999999999997</v>
      </c>
      <c r="S196" s="294">
        <v>0</v>
      </c>
      <c r="T196" s="294">
        <v>0</v>
      </c>
      <c r="U196" s="294">
        <v>191.88</v>
      </c>
    </row>
    <row r="197" spans="1:21" hidden="1" x14ac:dyDescent="0.25">
      <c r="A197" s="291">
        <v>863320</v>
      </c>
      <c r="B197" s="290" t="s">
        <v>185</v>
      </c>
      <c r="C197" s="292">
        <v>41050</v>
      </c>
      <c r="D197" s="292">
        <v>41051</v>
      </c>
      <c r="E197" s="290" t="s">
        <v>186</v>
      </c>
      <c r="F197" s="290" t="s">
        <v>192</v>
      </c>
      <c r="G197" s="290" t="s">
        <v>233</v>
      </c>
      <c r="H197" s="290" t="s">
        <v>181</v>
      </c>
      <c r="I197" s="290" t="s">
        <v>182</v>
      </c>
      <c r="J197" s="290" t="s">
        <v>183</v>
      </c>
      <c r="K197" s="290" t="s">
        <v>183</v>
      </c>
      <c r="L197" s="293">
        <v>0</v>
      </c>
      <c r="M197" s="293">
        <v>0</v>
      </c>
      <c r="N197" s="293">
        <v>28.173999999999999</v>
      </c>
      <c r="O197" s="290" t="s">
        <v>184</v>
      </c>
      <c r="P197" s="293">
        <v>6</v>
      </c>
      <c r="Q197" s="294">
        <v>51.74</v>
      </c>
      <c r="R197" s="294">
        <v>12.22</v>
      </c>
      <c r="S197" s="294">
        <v>0</v>
      </c>
      <c r="T197" s="294">
        <v>0</v>
      </c>
      <c r="U197" s="294">
        <v>63.96</v>
      </c>
    </row>
    <row r="198" spans="1:21" hidden="1" x14ac:dyDescent="0.25">
      <c r="A198" s="291">
        <v>851630</v>
      </c>
      <c r="B198" s="290" t="s">
        <v>185</v>
      </c>
      <c r="C198" s="292">
        <v>40997</v>
      </c>
      <c r="D198" s="292">
        <v>41001</v>
      </c>
      <c r="E198" s="290" t="s">
        <v>186</v>
      </c>
      <c r="F198" s="290" t="s">
        <v>192</v>
      </c>
      <c r="G198" s="290" t="s">
        <v>233</v>
      </c>
      <c r="H198" s="290" t="s">
        <v>181</v>
      </c>
      <c r="I198" s="290" t="s">
        <v>182</v>
      </c>
      <c r="J198" s="290" t="s">
        <v>183</v>
      </c>
      <c r="K198" s="290" t="s">
        <v>183</v>
      </c>
      <c r="L198" s="293">
        <v>0</v>
      </c>
      <c r="M198" s="293">
        <v>0</v>
      </c>
      <c r="N198" s="293">
        <v>28.173999999999999</v>
      </c>
      <c r="O198" s="290" t="s">
        <v>184</v>
      </c>
      <c r="P198" s="293">
        <v>9</v>
      </c>
      <c r="Q198" s="294">
        <v>103.48</v>
      </c>
      <c r="R198" s="294">
        <v>24.44</v>
      </c>
      <c r="S198" s="294">
        <v>0</v>
      </c>
      <c r="T198" s="294">
        <v>0</v>
      </c>
      <c r="U198" s="294">
        <v>127.92</v>
      </c>
    </row>
    <row r="199" spans="1:21" hidden="1" x14ac:dyDescent="0.25">
      <c r="A199" s="291">
        <v>848551</v>
      </c>
      <c r="B199" s="290" t="s">
        <v>212</v>
      </c>
      <c r="C199" s="292">
        <v>40988</v>
      </c>
      <c r="D199" s="292">
        <v>40990</v>
      </c>
      <c r="E199" s="290" t="s">
        <v>240</v>
      </c>
      <c r="F199" s="290" t="s">
        <v>230</v>
      </c>
      <c r="G199" s="290" t="s">
        <v>233</v>
      </c>
      <c r="H199" s="290" t="s">
        <v>181</v>
      </c>
      <c r="I199" s="290" t="s">
        <v>182</v>
      </c>
      <c r="J199" s="290" t="s">
        <v>183</v>
      </c>
      <c r="K199" s="290" t="s">
        <v>183</v>
      </c>
      <c r="L199" s="293">
        <v>0</v>
      </c>
      <c r="M199" s="293">
        <v>0</v>
      </c>
      <c r="N199" s="293">
        <v>28.173999999999999</v>
      </c>
      <c r="O199" s="290" t="s">
        <v>184</v>
      </c>
      <c r="P199" s="293">
        <v>6768.54</v>
      </c>
      <c r="Q199" s="294">
        <v>89.53</v>
      </c>
      <c r="R199" s="294">
        <v>29.08</v>
      </c>
      <c r="S199" s="294">
        <v>33.979999999999997</v>
      </c>
      <c r="T199" s="294">
        <v>0</v>
      </c>
      <c r="U199" s="294">
        <v>152.58000000000001</v>
      </c>
    </row>
    <row r="200" spans="1:21" hidden="1" x14ac:dyDescent="0.25">
      <c r="A200" s="291">
        <v>848551</v>
      </c>
      <c r="B200" s="290" t="s">
        <v>212</v>
      </c>
      <c r="C200" s="292">
        <v>40988</v>
      </c>
      <c r="D200" s="292">
        <v>40990</v>
      </c>
      <c r="E200" s="290" t="s">
        <v>240</v>
      </c>
      <c r="F200" s="290" t="s">
        <v>230</v>
      </c>
      <c r="G200" s="290" t="s">
        <v>239</v>
      </c>
      <c r="H200" s="290" t="s">
        <v>181</v>
      </c>
      <c r="I200" s="290" t="s">
        <v>182</v>
      </c>
      <c r="J200" s="290" t="s">
        <v>183</v>
      </c>
      <c r="K200" s="290" t="s">
        <v>183</v>
      </c>
      <c r="L200" s="293">
        <v>0</v>
      </c>
      <c r="M200" s="293">
        <v>29.643999999999998</v>
      </c>
      <c r="N200" s="293">
        <v>38.479999999999997</v>
      </c>
      <c r="O200" s="290" t="s">
        <v>184</v>
      </c>
      <c r="P200" s="293">
        <v>6768.54</v>
      </c>
      <c r="Q200" s="294">
        <v>89.53</v>
      </c>
      <c r="R200" s="294">
        <v>29.08</v>
      </c>
      <c r="S200" s="294">
        <v>33.979999999999997</v>
      </c>
      <c r="T200" s="294">
        <v>0</v>
      </c>
      <c r="U200" s="294">
        <v>152.58000000000001</v>
      </c>
    </row>
    <row r="201" spans="1:21" hidden="1" x14ac:dyDescent="0.25">
      <c r="A201" s="291">
        <v>833923</v>
      </c>
      <c r="B201" s="290" t="s">
        <v>177</v>
      </c>
      <c r="C201" s="292">
        <v>40933</v>
      </c>
      <c r="D201" s="292">
        <v>40966</v>
      </c>
      <c r="E201" s="290" t="s">
        <v>190</v>
      </c>
      <c r="F201" s="290" t="s">
        <v>191</v>
      </c>
      <c r="G201" s="290" t="s">
        <v>241</v>
      </c>
      <c r="H201" s="290" t="s">
        <v>181</v>
      </c>
      <c r="I201" s="290" t="s">
        <v>182</v>
      </c>
      <c r="J201" s="290" t="s">
        <v>183</v>
      </c>
      <c r="K201" s="290" t="s">
        <v>183</v>
      </c>
      <c r="L201" s="293">
        <v>0</v>
      </c>
      <c r="M201" s="293">
        <v>0</v>
      </c>
      <c r="N201" s="293">
        <v>2.0009999999999999</v>
      </c>
      <c r="O201" s="290" t="s">
        <v>184</v>
      </c>
      <c r="P201" s="293">
        <v>18.25</v>
      </c>
      <c r="Q201" s="294">
        <v>34259.230000000003</v>
      </c>
      <c r="R201" s="294">
        <v>5677.02</v>
      </c>
      <c r="S201" s="294">
        <v>4893.75</v>
      </c>
      <c r="T201" s="294">
        <v>392.49</v>
      </c>
      <c r="U201" s="294">
        <v>45222.49</v>
      </c>
    </row>
    <row r="202" spans="1:21" hidden="1" x14ac:dyDescent="0.25">
      <c r="A202" s="291">
        <v>816088</v>
      </c>
      <c r="B202" s="290" t="s">
        <v>185</v>
      </c>
      <c r="C202" s="292">
        <v>40842</v>
      </c>
      <c r="D202" s="292">
        <v>40843</v>
      </c>
      <c r="E202" s="290" t="s">
        <v>186</v>
      </c>
      <c r="F202" s="290" t="s">
        <v>192</v>
      </c>
      <c r="G202" s="290" t="s">
        <v>241</v>
      </c>
      <c r="H202" s="290" t="s">
        <v>181</v>
      </c>
      <c r="I202" s="290" t="s">
        <v>182</v>
      </c>
      <c r="J202" s="290" t="s">
        <v>183</v>
      </c>
      <c r="K202" s="290" t="s">
        <v>183</v>
      </c>
      <c r="L202" s="293">
        <v>0</v>
      </c>
      <c r="M202" s="293">
        <v>2.0009999999999999</v>
      </c>
      <c r="N202" s="293">
        <v>5.0010000000000003</v>
      </c>
      <c r="O202" s="290" t="s">
        <v>184</v>
      </c>
      <c r="P202" s="293">
        <v>14</v>
      </c>
      <c r="Q202" s="294">
        <v>144.06</v>
      </c>
      <c r="R202" s="294">
        <v>36.659999999999997</v>
      </c>
      <c r="S202" s="294">
        <v>0</v>
      </c>
      <c r="T202" s="294">
        <v>0</v>
      </c>
      <c r="U202" s="294">
        <v>180.72</v>
      </c>
    </row>
    <row r="203" spans="1:21" hidden="1" x14ac:dyDescent="0.25">
      <c r="A203" s="291">
        <v>809590</v>
      </c>
      <c r="B203" s="290" t="s">
        <v>185</v>
      </c>
      <c r="C203" s="292">
        <v>40820</v>
      </c>
      <c r="D203" s="292">
        <v>40820</v>
      </c>
      <c r="E203" s="290" t="s">
        <v>186</v>
      </c>
      <c r="F203" s="290" t="s">
        <v>192</v>
      </c>
      <c r="G203" s="290" t="s">
        <v>241</v>
      </c>
      <c r="H203" s="290" t="s">
        <v>181</v>
      </c>
      <c r="I203" s="290" t="s">
        <v>182</v>
      </c>
      <c r="J203" s="290" t="s">
        <v>183</v>
      </c>
      <c r="K203" s="290" t="s">
        <v>183</v>
      </c>
      <c r="L203" s="293">
        <v>0</v>
      </c>
      <c r="M203" s="293">
        <v>0</v>
      </c>
      <c r="N203" s="293">
        <v>0</v>
      </c>
      <c r="O203" s="290" t="s">
        <v>184</v>
      </c>
      <c r="P203" s="293">
        <v>0</v>
      </c>
      <c r="Q203" s="294">
        <v>0</v>
      </c>
      <c r="R203" s="294">
        <v>0</v>
      </c>
      <c r="S203" s="294">
        <v>0</v>
      </c>
      <c r="T203" s="294">
        <v>0</v>
      </c>
      <c r="U203" s="294">
        <v>0</v>
      </c>
    </row>
    <row r="204" spans="1:21" hidden="1" x14ac:dyDescent="0.25">
      <c r="A204" s="291">
        <v>808333</v>
      </c>
      <c r="B204" s="290" t="s">
        <v>185</v>
      </c>
      <c r="C204" s="292">
        <v>40814</v>
      </c>
      <c r="D204" s="292">
        <v>40815</v>
      </c>
      <c r="E204" s="290" t="s">
        <v>186</v>
      </c>
      <c r="F204" s="290" t="s">
        <v>192</v>
      </c>
      <c r="G204" s="290" t="s">
        <v>242</v>
      </c>
      <c r="H204" s="290" t="s">
        <v>181</v>
      </c>
      <c r="I204" s="290" t="s">
        <v>194</v>
      </c>
      <c r="J204" s="290" t="s">
        <v>183</v>
      </c>
      <c r="K204" s="290" t="s">
        <v>183</v>
      </c>
      <c r="L204" s="293">
        <v>0</v>
      </c>
      <c r="M204" s="293">
        <v>0</v>
      </c>
      <c r="N204" s="293">
        <v>3.4409999999999998</v>
      </c>
      <c r="O204" s="290" t="s">
        <v>184</v>
      </c>
      <c r="P204" s="293">
        <v>11</v>
      </c>
      <c r="Q204" s="294">
        <v>204.48</v>
      </c>
      <c r="R204" s="294">
        <v>48.88</v>
      </c>
      <c r="S204" s="294">
        <v>0</v>
      </c>
      <c r="T204" s="294">
        <v>0</v>
      </c>
      <c r="U204" s="294">
        <v>253.36</v>
      </c>
    </row>
    <row r="205" spans="1:21" hidden="1" x14ac:dyDescent="0.25">
      <c r="A205" s="291">
        <v>806765</v>
      </c>
      <c r="B205" s="290" t="s">
        <v>185</v>
      </c>
      <c r="C205" s="292">
        <v>40808</v>
      </c>
      <c r="D205" s="292">
        <v>40809</v>
      </c>
      <c r="E205" s="290" t="s">
        <v>186</v>
      </c>
      <c r="F205" s="290" t="s">
        <v>192</v>
      </c>
      <c r="G205" s="290" t="s">
        <v>242</v>
      </c>
      <c r="H205" s="290" t="s">
        <v>181</v>
      </c>
      <c r="I205" s="290" t="s">
        <v>194</v>
      </c>
      <c r="J205" s="290" t="s">
        <v>183</v>
      </c>
      <c r="K205" s="290" t="s">
        <v>183</v>
      </c>
      <c r="L205" s="293">
        <v>0</v>
      </c>
      <c r="M205" s="293">
        <v>0</v>
      </c>
      <c r="N205" s="293">
        <v>3.4409999999999998</v>
      </c>
      <c r="O205" s="290" t="s">
        <v>184</v>
      </c>
      <c r="P205" s="293">
        <v>10.25</v>
      </c>
      <c r="Q205" s="294">
        <v>153.36000000000001</v>
      </c>
      <c r="R205" s="294">
        <v>36.659999999999997</v>
      </c>
      <c r="S205" s="294">
        <v>0</v>
      </c>
      <c r="T205" s="294">
        <v>0</v>
      </c>
      <c r="U205" s="294">
        <v>190.02</v>
      </c>
    </row>
    <row r="206" spans="1:21" hidden="1" x14ac:dyDescent="0.25">
      <c r="A206" s="291">
        <v>804757</v>
      </c>
      <c r="B206" s="290" t="s">
        <v>185</v>
      </c>
      <c r="C206" s="292">
        <v>40801</v>
      </c>
      <c r="D206" s="292">
        <v>40802</v>
      </c>
      <c r="E206" s="290" t="s">
        <v>186</v>
      </c>
      <c r="F206" s="290" t="s">
        <v>192</v>
      </c>
      <c r="G206" s="290" t="s">
        <v>241</v>
      </c>
      <c r="H206" s="290" t="s">
        <v>181</v>
      </c>
      <c r="I206" s="290" t="s">
        <v>182</v>
      </c>
      <c r="J206" s="290" t="s">
        <v>183</v>
      </c>
      <c r="K206" s="290" t="s">
        <v>183</v>
      </c>
      <c r="L206" s="293">
        <v>0</v>
      </c>
      <c r="M206" s="293">
        <v>0</v>
      </c>
      <c r="N206" s="293">
        <v>0</v>
      </c>
      <c r="O206" s="290" t="s">
        <v>184</v>
      </c>
      <c r="P206" s="293">
        <v>30.5</v>
      </c>
      <c r="Q206" s="294">
        <v>357.84</v>
      </c>
      <c r="R206" s="294">
        <v>85.54</v>
      </c>
      <c r="S206" s="294">
        <v>0</v>
      </c>
      <c r="T206" s="294">
        <v>0</v>
      </c>
      <c r="U206" s="294">
        <v>443.38</v>
      </c>
    </row>
    <row r="207" spans="1:21" hidden="1" x14ac:dyDescent="0.25">
      <c r="A207" s="291">
        <v>800849</v>
      </c>
      <c r="B207" s="290" t="s">
        <v>185</v>
      </c>
      <c r="C207" s="292">
        <v>40786</v>
      </c>
      <c r="D207" s="292">
        <v>40787</v>
      </c>
      <c r="E207" s="290" t="s">
        <v>186</v>
      </c>
      <c r="F207" s="290" t="s">
        <v>192</v>
      </c>
      <c r="G207" s="290" t="s">
        <v>241</v>
      </c>
      <c r="H207" s="290" t="s">
        <v>181</v>
      </c>
      <c r="I207" s="290" t="s">
        <v>182</v>
      </c>
      <c r="J207" s="290" t="s">
        <v>183</v>
      </c>
      <c r="K207" s="290" t="s">
        <v>183</v>
      </c>
      <c r="L207" s="293">
        <v>0</v>
      </c>
      <c r="M207" s="293">
        <v>0</v>
      </c>
      <c r="N207" s="293">
        <v>0</v>
      </c>
      <c r="O207" s="290" t="s">
        <v>184</v>
      </c>
      <c r="P207" s="293">
        <v>14</v>
      </c>
      <c r="Q207" s="294">
        <v>153.36000000000001</v>
      </c>
      <c r="R207" s="294">
        <v>36.659999999999997</v>
      </c>
      <c r="S207" s="294">
        <v>0</v>
      </c>
      <c r="T207" s="294">
        <v>0</v>
      </c>
      <c r="U207" s="294">
        <v>190.02</v>
      </c>
    </row>
    <row r="208" spans="1:21" hidden="1" x14ac:dyDescent="0.25">
      <c r="A208" s="291">
        <v>796646</v>
      </c>
      <c r="B208" s="290" t="s">
        <v>185</v>
      </c>
      <c r="C208" s="292">
        <v>40772</v>
      </c>
      <c r="D208" s="292">
        <v>40773</v>
      </c>
      <c r="E208" s="290" t="s">
        <v>186</v>
      </c>
      <c r="F208" s="290" t="s">
        <v>192</v>
      </c>
      <c r="G208" s="290" t="s">
        <v>241</v>
      </c>
      <c r="H208" s="290" t="s">
        <v>181</v>
      </c>
      <c r="I208" s="290" t="s">
        <v>182</v>
      </c>
      <c r="J208" s="290" t="s">
        <v>183</v>
      </c>
      <c r="K208" s="290" t="s">
        <v>183</v>
      </c>
      <c r="L208" s="293">
        <v>0</v>
      </c>
      <c r="M208" s="293">
        <v>0</v>
      </c>
      <c r="N208" s="293">
        <v>0</v>
      </c>
      <c r="O208" s="290" t="s">
        <v>184</v>
      </c>
      <c r="P208" s="293">
        <v>29</v>
      </c>
      <c r="Q208" s="294">
        <v>204.48</v>
      </c>
      <c r="R208" s="294">
        <v>48.88</v>
      </c>
      <c r="S208" s="294">
        <v>0</v>
      </c>
      <c r="T208" s="294">
        <v>0</v>
      </c>
      <c r="U208" s="294">
        <v>253.36</v>
      </c>
    </row>
    <row r="209" spans="1:21" hidden="1" x14ac:dyDescent="0.25">
      <c r="A209" s="291">
        <v>791415</v>
      </c>
      <c r="B209" s="290" t="s">
        <v>212</v>
      </c>
      <c r="C209" s="292">
        <v>40758</v>
      </c>
      <c r="D209" s="292">
        <v>40763</v>
      </c>
      <c r="E209" s="290" t="s">
        <v>240</v>
      </c>
      <c r="F209" s="290" t="s">
        <v>230</v>
      </c>
      <c r="G209" s="290" t="s">
        <v>241</v>
      </c>
      <c r="H209" s="290" t="s">
        <v>181</v>
      </c>
      <c r="I209" s="290" t="s">
        <v>182</v>
      </c>
      <c r="J209" s="290" t="s">
        <v>183</v>
      </c>
      <c r="K209" s="290" t="s">
        <v>183</v>
      </c>
      <c r="L209" s="293">
        <v>0</v>
      </c>
      <c r="M209" s="293">
        <v>36.957999999999998</v>
      </c>
      <c r="N209" s="293">
        <v>38.479999999999997</v>
      </c>
      <c r="O209" s="290" t="s">
        <v>184</v>
      </c>
      <c r="P209" s="293">
        <v>0</v>
      </c>
      <c r="Q209" s="294">
        <v>0</v>
      </c>
      <c r="R209" s="294">
        <v>0</v>
      </c>
      <c r="S209" s="294">
        <v>61.78</v>
      </c>
      <c r="T209" s="294">
        <v>0</v>
      </c>
      <c r="U209" s="294">
        <v>61.78</v>
      </c>
    </row>
    <row r="210" spans="1:21" hidden="1" x14ac:dyDescent="0.25">
      <c r="A210" s="291">
        <v>791146</v>
      </c>
      <c r="B210" s="290" t="s">
        <v>185</v>
      </c>
      <c r="C210" s="292">
        <v>40756</v>
      </c>
      <c r="D210" s="292">
        <v>40757</v>
      </c>
      <c r="E210" s="290" t="s">
        <v>186</v>
      </c>
      <c r="F210" s="290" t="s">
        <v>192</v>
      </c>
      <c r="G210" s="290" t="s">
        <v>241</v>
      </c>
      <c r="H210" s="290" t="s">
        <v>181</v>
      </c>
      <c r="I210" s="290" t="s">
        <v>182</v>
      </c>
      <c r="J210" s="290" t="s">
        <v>183</v>
      </c>
      <c r="K210" s="290" t="s">
        <v>183</v>
      </c>
      <c r="L210" s="293">
        <v>0</v>
      </c>
      <c r="M210" s="293">
        <v>0</v>
      </c>
      <c r="N210" s="293">
        <v>0</v>
      </c>
      <c r="O210" s="290" t="s">
        <v>184</v>
      </c>
      <c r="P210" s="293">
        <v>18</v>
      </c>
      <c r="Q210" s="294">
        <v>204.48</v>
      </c>
      <c r="R210" s="294">
        <v>48.88</v>
      </c>
      <c r="S210" s="294">
        <v>0</v>
      </c>
      <c r="T210" s="294">
        <v>0</v>
      </c>
      <c r="U210" s="294">
        <v>253.36</v>
      </c>
    </row>
    <row r="211" spans="1:21" hidden="1" x14ac:dyDescent="0.25">
      <c r="A211" s="291">
        <v>790128</v>
      </c>
      <c r="B211" s="290" t="s">
        <v>185</v>
      </c>
      <c r="C211" s="292">
        <v>40752</v>
      </c>
      <c r="D211" s="292">
        <v>40753</v>
      </c>
      <c r="E211" s="290" t="s">
        <v>186</v>
      </c>
      <c r="F211" s="290" t="s">
        <v>192</v>
      </c>
      <c r="G211" s="290" t="s">
        <v>241</v>
      </c>
      <c r="H211" s="290" t="s">
        <v>181</v>
      </c>
      <c r="I211" s="290" t="s">
        <v>182</v>
      </c>
      <c r="J211" s="290" t="s">
        <v>183</v>
      </c>
      <c r="K211" s="290" t="s">
        <v>183</v>
      </c>
      <c r="L211" s="293">
        <v>0</v>
      </c>
      <c r="M211" s="293">
        <v>0</v>
      </c>
      <c r="N211" s="293">
        <v>0</v>
      </c>
      <c r="O211" s="290" t="s">
        <v>184</v>
      </c>
      <c r="P211" s="293">
        <v>10</v>
      </c>
      <c r="Q211" s="294">
        <v>153.36000000000001</v>
      </c>
      <c r="R211" s="294">
        <v>36.659999999999997</v>
      </c>
      <c r="S211" s="294">
        <v>0</v>
      </c>
      <c r="T211" s="294">
        <v>0</v>
      </c>
      <c r="U211" s="294">
        <v>190.02</v>
      </c>
    </row>
    <row r="212" spans="1:21" hidden="1" x14ac:dyDescent="0.25">
      <c r="A212" s="291">
        <v>785568</v>
      </c>
      <c r="B212" s="290" t="s">
        <v>185</v>
      </c>
      <c r="C212" s="292">
        <v>40738</v>
      </c>
      <c r="D212" s="292">
        <v>40739</v>
      </c>
      <c r="E212" s="290" t="s">
        <v>186</v>
      </c>
      <c r="F212" s="290" t="s">
        <v>192</v>
      </c>
      <c r="G212" s="290" t="s">
        <v>241</v>
      </c>
      <c r="H212" s="290" t="s">
        <v>181</v>
      </c>
      <c r="I212" s="290" t="s">
        <v>182</v>
      </c>
      <c r="J212" s="290" t="s">
        <v>183</v>
      </c>
      <c r="K212" s="290" t="s">
        <v>183</v>
      </c>
      <c r="L212" s="293">
        <v>0</v>
      </c>
      <c r="M212" s="293">
        <v>0</v>
      </c>
      <c r="N212" s="293">
        <v>0</v>
      </c>
      <c r="O212" s="290" t="s">
        <v>184</v>
      </c>
      <c r="P212" s="293">
        <v>18.5</v>
      </c>
      <c r="Q212" s="294">
        <v>191.7</v>
      </c>
      <c r="R212" s="294">
        <v>48.88</v>
      </c>
      <c r="S212" s="294">
        <v>0</v>
      </c>
      <c r="T212" s="294">
        <v>0</v>
      </c>
      <c r="U212" s="294">
        <v>240.58</v>
      </c>
    </row>
    <row r="213" spans="1:21" hidden="1" x14ac:dyDescent="0.25">
      <c r="A213" s="291">
        <v>783662</v>
      </c>
      <c r="B213" s="290" t="s">
        <v>185</v>
      </c>
      <c r="C213" s="292">
        <v>40732</v>
      </c>
      <c r="D213" s="292">
        <v>40735</v>
      </c>
      <c r="E213" s="290" t="s">
        <v>225</v>
      </c>
      <c r="F213" s="290" t="s">
        <v>192</v>
      </c>
      <c r="G213" s="290" t="s">
        <v>241</v>
      </c>
      <c r="H213" s="290" t="s">
        <v>197</v>
      </c>
      <c r="I213" s="290" t="s">
        <v>182</v>
      </c>
      <c r="J213" s="290" t="s">
        <v>183</v>
      </c>
      <c r="K213" s="290" t="s">
        <v>183</v>
      </c>
      <c r="L213" s="293">
        <v>0</v>
      </c>
      <c r="M213" s="293">
        <v>0</v>
      </c>
      <c r="N213" s="293">
        <v>0</v>
      </c>
      <c r="O213" s="290" t="s">
        <v>184</v>
      </c>
      <c r="P213" s="293">
        <v>5</v>
      </c>
      <c r="Q213" s="294">
        <v>51.12</v>
      </c>
      <c r="R213" s="294">
        <v>12.22</v>
      </c>
      <c r="S213" s="294">
        <v>0</v>
      </c>
      <c r="T213" s="294">
        <v>0</v>
      </c>
      <c r="U213" s="294">
        <v>63.34</v>
      </c>
    </row>
    <row r="214" spans="1:21" hidden="1" x14ac:dyDescent="0.25">
      <c r="A214" s="291">
        <v>780436</v>
      </c>
      <c r="B214" s="290" t="s">
        <v>185</v>
      </c>
      <c r="C214" s="292">
        <v>40721</v>
      </c>
      <c r="D214" s="292">
        <v>40722</v>
      </c>
      <c r="E214" s="290" t="s">
        <v>186</v>
      </c>
      <c r="F214" s="290" t="s">
        <v>192</v>
      </c>
      <c r="G214" s="290" t="s">
        <v>241</v>
      </c>
      <c r="H214" s="290" t="s">
        <v>181</v>
      </c>
      <c r="I214" s="290" t="s">
        <v>182</v>
      </c>
      <c r="J214" s="290" t="s">
        <v>183</v>
      </c>
      <c r="K214" s="290" t="s">
        <v>183</v>
      </c>
      <c r="L214" s="293">
        <v>0</v>
      </c>
      <c r="M214" s="293">
        <v>0</v>
      </c>
      <c r="N214" s="293">
        <v>0</v>
      </c>
      <c r="O214" s="290" t="s">
        <v>184</v>
      </c>
      <c r="P214" s="293">
        <v>10</v>
      </c>
      <c r="Q214" s="294">
        <v>153.36000000000001</v>
      </c>
      <c r="R214" s="294">
        <v>36.659999999999997</v>
      </c>
      <c r="S214" s="294">
        <v>0</v>
      </c>
      <c r="T214" s="294">
        <v>0</v>
      </c>
      <c r="U214" s="294">
        <v>190.02</v>
      </c>
    </row>
    <row r="215" spans="1:21" hidden="1" x14ac:dyDescent="0.25">
      <c r="A215" s="291">
        <v>779692</v>
      </c>
      <c r="B215" s="290" t="s">
        <v>185</v>
      </c>
      <c r="C215" s="292">
        <v>40717</v>
      </c>
      <c r="D215" s="292">
        <v>40718</v>
      </c>
      <c r="E215" s="290" t="s">
        <v>186</v>
      </c>
      <c r="F215" s="290" t="s">
        <v>192</v>
      </c>
      <c r="G215" s="290" t="s">
        <v>241</v>
      </c>
      <c r="H215" s="290" t="s">
        <v>181</v>
      </c>
      <c r="I215" s="290" t="s">
        <v>182</v>
      </c>
      <c r="J215" s="290" t="s">
        <v>183</v>
      </c>
      <c r="K215" s="290" t="s">
        <v>183</v>
      </c>
      <c r="L215" s="293">
        <v>0</v>
      </c>
      <c r="M215" s="293">
        <v>0</v>
      </c>
      <c r="N215" s="293">
        <v>0</v>
      </c>
      <c r="O215" s="290" t="s">
        <v>184</v>
      </c>
      <c r="P215" s="293">
        <v>12.5</v>
      </c>
      <c r="Q215" s="294">
        <v>153.36000000000001</v>
      </c>
      <c r="R215" s="294">
        <v>36.659999999999997</v>
      </c>
      <c r="S215" s="294">
        <v>0</v>
      </c>
      <c r="T215" s="294">
        <v>0</v>
      </c>
      <c r="U215" s="294">
        <v>190.02</v>
      </c>
    </row>
    <row r="216" spans="1:21" hidden="1" x14ac:dyDescent="0.25">
      <c r="A216" s="291">
        <v>778760</v>
      </c>
      <c r="B216" s="290" t="s">
        <v>185</v>
      </c>
      <c r="C216" s="292">
        <v>40715</v>
      </c>
      <c r="D216" s="292">
        <v>40716</v>
      </c>
      <c r="E216" s="290" t="s">
        <v>186</v>
      </c>
      <c r="F216" s="290" t="s">
        <v>192</v>
      </c>
      <c r="G216" s="290" t="s">
        <v>241</v>
      </c>
      <c r="H216" s="290" t="s">
        <v>181</v>
      </c>
      <c r="I216" s="290" t="s">
        <v>182</v>
      </c>
      <c r="J216" s="290" t="s">
        <v>183</v>
      </c>
      <c r="K216" s="290" t="s">
        <v>183</v>
      </c>
      <c r="L216" s="293">
        <v>0</v>
      </c>
      <c r="M216" s="293">
        <v>0</v>
      </c>
      <c r="N216" s="293">
        <v>0</v>
      </c>
      <c r="O216" s="290" t="s">
        <v>184</v>
      </c>
      <c r="P216" s="293">
        <v>1000</v>
      </c>
      <c r="Q216" s="294">
        <v>920.16</v>
      </c>
      <c r="R216" s="294">
        <v>109.98</v>
      </c>
      <c r="S216" s="294">
        <v>0</v>
      </c>
      <c r="T216" s="294">
        <v>0</v>
      </c>
      <c r="U216" s="294">
        <v>1030.1400000000001</v>
      </c>
    </row>
    <row r="217" spans="1:21" hidden="1" x14ac:dyDescent="0.25">
      <c r="A217" s="291">
        <v>776567</v>
      </c>
      <c r="B217" s="290" t="s">
        <v>185</v>
      </c>
      <c r="C217" s="292">
        <v>40708</v>
      </c>
      <c r="D217" s="292">
        <v>40709</v>
      </c>
      <c r="E217" s="290" t="s">
        <v>186</v>
      </c>
      <c r="F217" s="290" t="s">
        <v>192</v>
      </c>
      <c r="G217" s="290" t="s">
        <v>241</v>
      </c>
      <c r="H217" s="290" t="s">
        <v>181</v>
      </c>
      <c r="I217" s="290" t="s">
        <v>182</v>
      </c>
      <c r="J217" s="290" t="s">
        <v>183</v>
      </c>
      <c r="K217" s="290" t="s">
        <v>183</v>
      </c>
      <c r="L217" s="293">
        <v>0</v>
      </c>
      <c r="M217" s="293">
        <v>4</v>
      </c>
      <c r="N217" s="293">
        <v>4</v>
      </c>
      <c r="O217" s="290" t="s">
        <v>184</v>
      </c>
      <c r="P217" s="293">
        <v>5</v>
      </c>
      <c r="Q217" s="294">
        <v>102.24</v>
      </c>
      <c r="R217" s="294">
        <v>24.44</v>
      </c>
      <c r="S217" s="294">
        <v>0</v>
      </c>
      <c r="T217" s="294">
        <v>0</v>
      </c>
      <c r="U217" s="294">
        <v>126.68</v>
      </c>
    </row>
    <row r="218" spans="1:21" hidden="1" x14ac:dyDescent="0.25">
      <c r="A218" s="291">
        <v>772397</v>
      </c>
      <c r="B218" s="290" t="s">
        <v>185</v>
      </c>
      <c r="C218" s="292">
        <v>40695</v>
      </c>
      <c r="D218" s="292">
        <v>40696</v>
      </c>
      <c r="E218" s="290" t="s">
        <v>186</v>
      </c>
      <c r="F218" s="290" t="s">
        <v>192</v>
      </c>
      <c r="G218" s="290" t="s">
        <v>242</v>
      </c>
      <c r="H218" s="290" t="s">
        <v>181</v>
      </c>
      <c r="I218" s="290" t="s">
        <v>194</v>
      </c>
      <c r="J218" s="290" t="s">
        <v>183</v>
      </c>
      <c r="K218" s="290" t="s">
        <v>183</v>
      </c>
      <c r="L218" s="293">
        <v>0</v>
      </c>
      <c r="M218" s="293">
        <v>0</v>
      </c>
      <c r="N218" s="293">
        <v>3.4409999999999998</v>
      </c>
      <c r="O218" s="290" t="s">
        <v>184</v>
      </c>
      <c r="P218" s="293">
        <v>9</v>
      </c>
      <c r="Q218" s="294">
        <v>102.24</v>
      </c>
      <c r="R218" s="294">
        <v>24.44</v>
      </c>
      <c r="S218" s="294">
        <v>0</v>
      </c>
      <c r="T218" s="294">
        <v>0</v>
      </c>
      <c r="U218" s="294">
        <v>126.68</v>
      </c>
    </row>
    <row r="219" spans="1:21" hidden="1" x14ac:dyDescent="0.25">
      <c r="A219" s="291">
        <v>772393</v>
      </c>
      <c r="B219" s="290" t="s">
        <v>185</v>
      </c>
      <c r="C219" s="292">
        <v>40694</v>
      </c>
      <c r="D219" s="292">
        <v>40696</v>
      </c>
      <c r="E219" s="290" t="s">
        <v>186</v>
      </c>
      <c r="F219" s="290" t="s">
        <v>192</v>
      </c>
      <c r="G219" s="290" t="s">
        <v>241</v>
      </c>
      <c r="H219" s="290" t="s">
        <v>181</v>
      </c>
      <c r="I219" s="290" t="s">
        <v>182</v>
      </c>
      <c r="J219" s="290" t="s">
        <v>183</v>
      </c>
      <c r="K219" s="290" t="s">
        <v>183</v>
      </c>
      <c r="L219" s="293">
        <v>0</v>
      </c>
      <c r="M219" s="293">
        <v>2</v>
      </c>
      <c r="N219" s="293">
        <v>2</v>
      </c>
      <c r="O219" s="290" t="s">
        <v>184</v>
      </c>
      <c r="P219" s="293">
        <v>0</v>
      </c>
      <c r="Q219" s="294">
        <v>102.24</v>
      </c>
      <c r="R219" s="294">
        <v>24.44</v>
      </c>
      <c r="S219" s="294">
        <v>0</v>
      </c>
      <c r="T219" s="294">
        <v>0</v>
      </c>
      <c r="U219" s="294">
        <v>126.68</v>
      </c>
    </row>
    <row r="220" spans="1:21" hidden="1" x14ac:dyDescent="0.25">
      <c r="A220" s="291">
        <v>771040</v>
      </c>
      <c r="B220" s="290" t="s">
        <v>185</v>
      </c>
      <c r="C220" s="292">
        <v>40688</v>
      </c>
      <c r="D220" s="292">
        <v>40690</v>
      </c>
      <c r="E220" s="290" t="s">
        <v>186</v>
      </c>
      <c r="F220" s="290" t="s">
        <v>192</v>
      </c>
      <c r="G220" s="290" t="s">
        <v>241</v>
      </c>
      <c r="H220" s="290" t="s">
        <v>181</v>
      </c>
      <c r="I220" s="290" t="s">
        <v>182</v>
      </c>
      <c r="J220" s="290" t="s">
        <v>183</v>
      </c>
      <c r="K220" s="290" t="s">
        <v>183</v>
      </c>
      <c r="L220" s="293">
        <v>0</v>
      </c>
      <c r="M220" s="293">
        <v>0</v>
      </c>
      <c r="N220" s="293">
        <v>0</v>
      </c>
      <c r="O220" s="290" t="s">
        <v>184</v>
      </c>
      <c r="P220" s="293">
        <v>15.5</v>
      </c>
      <c r="Q220" s="294">
        <v>102.24</v>
      </c>
      <c r="R220" s="294">
        <v>24.44</v>
      </c>
      <c r="S220" s="294">
        <v>0</v>
      </c>
      <c r="T220" s="294">
        <v>0</v>
      </c>
      <c r="U220" s="294">
        <v>126.68</v>
      </c>
    </row>
    <row r="221" spans="1:21" hidden="1" x14ac:dyDescent="0.25">
      <c r="A221" s="291">
        <v>770180</v>
      </c>
      <c r="B221" s="290" t="s">
        <v>185</v>
      </c>
      <c r="C221" s="292">
        <v>40687</v>
      </c>
      <c r="D221" s="292">
        <v>40688</v>
      </c>
      <c r="E221" s="290" t="s">
        <v>186</v>
      </c>
      <c r="F221" s="290" t="s">
        <v>192</v>
      </c>
      <c r="G221" s="290" t="s">
        <v>241</v>
      </c>
      <c r="H221" s="290" t="s">
        <v>181</v>
      </c>
      <c r="I221" s="290" t="s">
        <v>182</v>
      </c>
      <c r="J221" s="290" t="s">
        <v>183</v>
      </c>
      <c r="K221" s="290" t="s">
        <v>183</v>
      </c>
      <c r="L221" s="293">
        <v>0</v>
      </c>
      <c r="M221" s="293">
        <v>0</v>
      </c>
      <c r="N221" s="293">
        <v>0</v>
      </c>
      <c r="O221" s="290" t="s">
        <v>184</v>
      </c>
      <c r="P221" s="293">
        <v>12.5</v>
      </c>
      <c r="Q221" s="294">
        <v>102.24</v>
      </c>
      <c r="R221" s="294">
        <v>24.44</v>
      </c>
      <c r="S221" s="294">
        <v>0</v>
      </c>
      <c r="T221" s="294">
        <v>0</v>
      </c>
      <c r="U221" s="294">
        <v>126.68</v>
      </c>
    </row>
    <row r="222" spans="1:21" hidden="1" x14ac:dyDescent="0.25">
      <c r="A222" s="291">
        <v>767293</v>
      </c>
      <c r="B222" s="290" t="s">
        <v>177</v>
      </c>
      <c r="C222" s="292">
        <v>40679</v>
      </c>
      <c r="D222" s="292">
        <v>40683</v>
      </c>
      <c r="E222" s="290" t="s">
        <v>190</v>
      </c>
      <c r="F222" s="290" t="s">
        <v>243</v>
      </c>
      <c r="G222" s="290" t="s">
        <v>241</v>
      </c>
      <c r="H222" s="290" t="s">
        <v>181</v>
      </c>
      <c r="I222" s="290" t="s">
        <v>182</v>
      </c>
      <c r="J222" s="290" t="s">
        <v>183</v>
      </c>
      <c r="K222" s="290" t="s">
        <v>183</v>
      </c>
      <c r="L222" s="293">
        <v>0</v>
      </c>
      <c r="M222" s="293">
        <v>0</v>
      </c>
      <c r="N222" s="293">
        <v>0</v>
      </c>
      <c r="O222" s="290" t="s">
        <v>184</v>
      </c>
      <c r="P222" s="293">
        <v>222.5</v>
      </c>
      <c r="Q222" s="294">
        <v>5802.43</v>
      </c>
      <c r="R222" s="294">
        <v>2096.48</v>
      </c>
      <c r="S222" s="294">
        <v>0</v>
      </c>
      <c r="T222" s="294">
        <v>47.24</v>
      </c>
      <c r="U222" s="294">
        <v>7946.15</v>
      </c>
    </row>
    <row r="223" spans="1:21" hidden="1" x14ac:dyDescent="0.25">
      <c r="A223" s="291">
        <v>766453</v>
      </c>
      <c r="B223" s="290" t="s">
        <v>185</v>
      </c>
      <c r="C223" s="292">
        <v>40675</v>
      </c>
      <c r="D223" s="292">
        <v>40676</v>
      </c>
      <c r="E223" s="290" t="s">
        <v>186</v>
      </c>
      <c r="F223" s="290" t="s">
        <v>187</v>
      </c>
      <c r="G223" s="290" t="s">
        <v>241</v>
      </c>
      <c r="H223" s="290" t="s">
        <v>181</v>
      </c>
      <c r="I223" s="290" t="s">
        <v>182</v>
      </c>
      <c r="J223" s="290" t="s">
        <v>183</v>
      </c>
      <c r="K223" s="290" t="s">
        <v>183</v>
      </c>
      <c r="L223" s="293">
        <v>0</v>
      </c>
      <c r="M223" s="293">
        <v>0.1</v>
      </c>
      <c r="N223" s="293">
        <v>0.1</v>
      </c>
      <c r="O223" s="290" t="s">
        <v>184</v>
      </c>
      <c r="P223" s="293">
        <v>2</v>
      </c>
      <c r="Q223" s="294">
        <v>51.12</v>
      </c>
      <c r="R223" s="294">
        <v>12.22</v>
      </c>
      <c r="S223" s="294">
        <v>0</v>
      </c>
      <c r="T223" s="294">
        <v>0</v>
      </c>
      <c r="U223" s="294">
        <v>63.34</v>
      </c>
    </row>
    <row r="224" spans="1:21" hidden="1" x14ac:dyDescent="0.25">
      <c r="A224" s="291">
        <v>756125</v>
      </c>
      <c r="B224" s="290" t="s">
        <v>212</v>
      </c>
      <c r="C224" s="292">
        <v>40641</v>
      </c>
      <c r="D224" s="292">
        <v>40660</v>
      </c>
      <c r="E224" s="290" t="s">
        <v>240</v>
      </c>
      <c r="F224" s="290" t="s">
        <v>230</v>
      </c>
      <c r="G224" s="290" t="s">
        <v>241</v>
      </c>
      <c r="H224" s="290" t="s">
        <v>181</v>
      </c>
      <c r="I224" s="290" t="s">
        <v>182</v>
      </c>
      <c r="J224" s="290" t="s">
        <v>183</v>
      </c>
      <c r="K224" s="290" t="s">
        <v>183</v>
      </c>
      <c r="L224" s="293">
        <v>0</v>
      </c>
      <c r="M224" s="293">
        <v>0</v>
      </c>
      <c r="N224" s="293">
        <v>3.0009999999999999</v>
      </c>
      <c r="O224" s="290" t="s">
        <v>184</v>
      </c>
      <c r="P224" s="293">
        <v>11880</v>
      </c>
      <c r="Q224" s="294">
        <v>153.77000000000001</v>
      </c>
      <c r="R224" s="294">
        <v>111.6</v>
      </c>
      <c r="S224" s="294">
        <v>47.28</v>
      </c>
      <c r="T224" s="294">
        <v>0</v>
      </c>
      <c r="U224" s="294">
        <v>312.64</v>
      </c>
    </row>
    <row r="225" spans="1:21" hidden="1" x14ac:dyDescent="0.25">
      <c r="A225" s="291">
        <v>756125</v>
      </c>
      <c r="B225" s="290" t="s">
        <v>212</v>
      </c>
      <c r="C225" s="292">
        <v>40641</v>
      </c>
      <c r="D225" s="292">
        <v>40660</v>
      </c>
      <c r="E225" s="290" t="s">
        <v>240</v>
      </c>
      <c r="F225" s="290" t="s">
        <v>230</v>
      </c>
      <c r="G225" s="290" t="s">
        <v>242</v>
      </c>
      <c r="H225" s="290" t="s">
        <v>181</v>
      </c>
      <c r="I225" s="290" t="s">
        <v>194</v>
      </c>
      <c r="J225" s="290" t="s">
        <v>183</v>
      </c>
      <c r="K225" s="290" t="s">
        <v>183</v>
      </c>
      <c r="L225" s="293">
        <v>0</v>
      </c>
      <c r="M225" s="293">
        <v>0</v>
      </c>
      <c r="N225" s="293">
        <v>3.4409999999999998</v>
      </c>
      <c r="O225" s="290" t="s">
        <v>184</v>
      </c>
      <c r="P225" s="293">
        <v>11880</v>
      </c>
      <c r="Q225" s="294">
        <v>153.77000000000001</v>
      </c>
      <c r="R225" s="294">
        <v>111.6</v>
      </c>
      <c r="S225" s="294">
        <v>47.28</v>
      </c>
      <c r="T225" s="294">
        <v>0</v>
      </c>
      <c r="U225" s="294">
        <v>312.64</v>
      </c>
    </row>
    <row r="226" spans="1:21" hidden="1" x14ac:dyDescent="0.25">
      <c r="A226" s="291">
        <v>746465</v>
      </c>
      <c r="B226" s="290" t="s">
        <v>185</v>
      </c>
      <c r="C226" s="292">
        <v>40609</v>
      </c>
      <c r="D226" s="292">
        <v>40610</v>
      </c>
      <c r="E226" s="290" t="s">
        <v>186</v>
      </c>
      <c r="F226" s="290" t="s">
        <v>192</v>
      </c>
      <c r="G226" s="290" t="s">
        <v>241</v>
      </c>
      <c r="H226" s="290" t="s">
        <v>181</v>
      </c>
      <c r="I226" s="290" t="s">
        <v>182</v>
      </c>
      <c r="J226" s="290" t="s">
        <v>183</v>
      </c>
      <c r="K226" s="290" t="s">
        <v>183</v>
      </c>
      <c r="L226" s="293">
        <v>0</v>
      </c>
      <c r="M226" s="293">
        <v>0</v>
      </c>
      <c r="N226" s="293">
        <v>0</v>
      </c>
      <c r="O226" s="290" t="s">
        <v>184</v>
      </c>
      <c r="P226" s="293">
        <v>47</v>
      </c>
      <c r="Q226" s="294">
        <v>274.44</v>
      </c>
      <c r="R226" s="294">
        <v>73.319999999999993</v>
      </c>
      <c r="S226" s="294">
        <v>0</v>
      </c>
      <c r="T226" s="294">
        <v>0</v>
      </c>
      <c r="U226" s="294">
        <v>347.76</v>
      </c>
    </row>
    <row r="227" spans="1:21" hidden="1" x14ac:dyDescent="0.25">
      <c r="A227" s="291">
        <v>741677</v>
      </c>
      <c r="B227" s="290" t="s">
        <v>177</v>
      </c>
      <c r="C227" s="292">
        <v>40596</v>
      </c>
      <c r="D227" s="292">
        <v>40599</v>
      </c>
      <c r="E227" s="290" t="s">
        <v>190</v>
      </c>
      <c r="F227" s="290" t="s">
        <v>231</v>
      </c>
      <c r="G227" s="290" t="s">
        <v>241</v>
      </c>
      <c r="H227" s="290" t="s">
        <v>181</v>
      </c>
      <c r="I227" s="290" t="s">
        <v>182</v>
      </c>
      <c r="J227" s="290" t="s">
        <v>183</v>
      </c>
      <c r="K227" s="290" t="s">
        <v>183</v>
      </c>
      <c r="L227" s="293">
        <v>0</v>
      </c>
      <c r="M227" s="293">
        <v>19.968</v>
      </c>
      <c r="N227" s="293">
        <v>25.968</v>
      </c>
      <c r="O227" s="290" t="s">
        <v>184</v>
      </c>
      <c r="P227" s="293">
        <v>0</v>
      </c>
      <c r="Q227" s="294">
        <v>3948.31</v>
      </c>
      <c r="R227" s="294">
        <v>1084.92</v>
      </c>
      <c r="S227" s="294">
        <v>2306.1999999999998</v>
      </c>
      <c r="T227" s="294">
        <v>0</v>
      </c>
      <c r="U227" s="294">
        <v>7339.43</v>
      </c>
    </row>
    <row r="228" spans="1:21" hidden="1" x14ac:dyDescent="0.25">
      <c r="A228" s="291">
        <v>736825</v>
      </c>
      <c r="B228" s="290" t="s">
        <v>185</v>
      </c>
      <c r="C228" s="292">
        <v>40577</v>
      </c>
      <c r="D228" s="292">
        <v>40578</v>
      </c>
      <c r="E228" s="290" t="s">
        <v>186</v>
      </c>
      <c r="F228" s="290" t="s">
        <v>192</v>
      </c>
      <c r="G228" s="290" t="s">
        <v>241</v>
      </c>
      <c r="H228" s="290" t="s">
        <v>181</v>
      </c>
      <c r="I228" s="290" t="s">
        <v>182</v>
      </c>
      <c r="J228" s="290" t="s">
        <v>183</v>
      </c>
      <c r="K228" s="290" t="s">
        <v>183</v>
      </c>
      <c r="L228" s="293">
        <v>0</v>
      </c>
      <c r="M228" s="293">
        <v>0</v>
      </c>
      <c r="N228" s="293">
        <v>0</v>
      </c>
      <c r="O228" s="290" t="s">
        <v>184</v>
      </c>
      <c r="P228" s="293">
        <v>16</v>
      </c>
      <c r="Q228" s="294">
        <v>365.92</v>
      </c>
      <c r="R228" s="294">
        <v>97.76</v>
      </c>
      <c r="S228" s="294">
        <v>0</v>
      </c>
      <c r="T228" s="294">
        <v>0</v>
      </c>
      <c r="U228" s="294">
        <v>463.68</v>
      </c>
    </row>
    <row r="229" spans="1:21" hidden="1" x14ac:dyDescent="0.25">
      <c r="A229" s="291">
        <v>736274</v>
      </c>
      <c r="B229" s="290" t="s">
        <v>185</v>
      </c>
      <c r="C229" s="292">
        <v>40576</v>
      </c>
      <c r="D229" s="292">
        <v>40577</v>
      </c>
      <c r="E229" s="290" t="s">
        <v>186</v>
      </c>
      <c r="F229" s="290" t="s">
        <v>187</v>
      </c>
      <c r="G229" s="290" t="s">
        <v>241</v>
      </c>
      <c r="H229" s="290" t="s">
        <v>181</v>
      </c>
      <c r="I229" s="290" t="s">
        <v>182</v>
      </c>
      <c r="J229" s="290" t="s">
        <v>183</v>
      </c>
      <c r="K229" s="290" t="s">
        <v>183</v>
      </c>
      <c r="L229" s="293">
        <v>0</v>
      </c>
      <c r="M229" s="293">
        <v>2.5009999999999999</v>
      </c>
      <c r="N229" s="293">
        <v>4.5</v>
      </c>
      <c r="O229" s="290" t="s">
        <v>184</v>
      </c>
      <c r="P229" s="293">
        <v>3</v>
      </c>
      <c r="Q229" s="294">
        <v>91.48</v>
      </c>
      <c r="R229" s="294">
        <v>24.44</v>
      </c>
      <c r="S229" s="294">
        <v>0</v>
      </c>
      <c r="T229" s="294">
        <v>0</v>
      </c>
      <c r="U229" s="294">
        <v>115.92</v>
      </c>
    </row>
    <row r="230" spans="1:21" hidden="1" x14ac:dyDescent="0.25">
      <c r="A230" s="291">
        <v>724545</v>
      </c>
      <c r="B230" s="290" t="s">
        <v>185</v>
      </c>
      <c r="C230" s="292">
        <v>40513</v>
      </c>
      <c r="D230" s="292">
        <v>40514</v>
      </c>
      <c r="E230" s="290" t="s">
        <v>186</v>
      </c>
      <c r="F230" s="290" t="s">
        <v>192</v>
      </c>
      <c r="G230" s="290" t="s">
        <v>242</v>
      </c>
      <c r="H230" s="290" t="s">
        <v>181</v>
      </c>
      <c r="I230" s="290" t="s">
        <v>194</v>
      </c>
      <c r="J230" s="290" t="s">
        <v>183</v>
      </c>
      <c r="K230" s="290" t="s">
        <v>183</v>
      </c>
      <c r="L230" s="293">
        <v>0</v>
      </c>
      <c r="M230" s="293">
        <v>0.1</v>
      </c>
      <c r="N230" s="293">
        <v>0.1</v>
      </c>
      <c r="O230" s="290" t="s">
        <v>184</v>
      </c>
      <c r="P230" s="293">
        <v>9</v>
      </c>
      <c r="Q230" s="294">
        <v>35.17</v>
      </c>
      <c r="R230" s="294">
        <v>12.22</v>
      </c>
      <c r="S230" s="294">
        <v>0</v>
      </c>
      <c r="T230" s="294">
        <v>0</v>
      </c>
      <c r="U230" s="294">
        <v>47.39</v>
      </c>
    </row>
    <row r="231" spans="1:21" hidden="1" x14ac:dyDescent="0.25">
      <c r="A231" s="291">
        <v>715577</v>
      </c>
      <c r="B231" s="290" t="s">
        <v>185</v>
      </c>
      <c r="C231" s="292">
        <v>40476</v>
      </c>
      <c r="D231" s="292">
        <v>40477</v>
      </c>
      <c r="E231" s="290" t="s">
        <v>186</v>
      </c>
      <c r="F231" s="290" t="s">
        <v>187</v>
      </c>
      <c r="G231" s="290" t="s">
        <v>241</v>
      </c>
      <c r="H231" s="290" t="s">
        <v>181</v>
      </c>
      <c r="I231" s="290" t="s">
        <v>182</v>
      </c>
      <c r="J231" s="290" t="s">
        <v>183</v>
      </c>
      <c r="K231" s="290" t="s">
        <v>183</v>
      </c>
      <c r="L231" s="293">
        <v>0</v>
      </c>
      <c r="M231" s="293">
        <v>0</v>
      </c>
      <c r="N231" s="293">
        <v>0</v>
      </c>
      <c r="O231" s="290" t="s">
        <v>184</v>
      </c>
      <c r="P231" s="293">
        <v>1</v>
      </c>
      <c r="Q231" s="294">
        <v>45.74</v>
      </c>
      <c r="R231" s="294">
        <v>12.22</v>
      </c>
      <c r="S231" s="294">
        <v>0</v>
      </c>
      <c r="T231" s="294">
        <v>0</v>
      </c>
      <c r="U231" s="294">
        <v>57.96</v>
      </c>
    </row>
    <row r="232" spans="1:21" hidden="1" x14ac:dyDescent="0.25">
      <c r="A232" s="291">
        <v>707533</v>
      </c>
      <c r="B232" s="290" t="s">
        <v>185</v>
      </c>
      <c r="C232" s="292">
        <v>40449</v>
      </c>
      <c r="D232" s="292">
        <v>40450</v>
      </c>
      <c r="E232" s="290" t="s">
        <v>186</v>
      </c>
      <c r="F232" s="290" t="s">
        <v>192</v>
      </c>
      <c r="G232" s="290" t="s">
        <v>241</v>
      </c>
      <c r="H232" s="290" t="s">
        <v>181</v>
      </c>
      <c r="I232" s="290" t="s">
        <v>182</v>
      </c>
      <c r="J232" s="290" t="s">
        <v>183</v>
      </c>
      <c r="K232" s="290" t="s">
        <v>183</v>
      </c>
      <c r="L232" s="293">
        <v>0</v>
      </c>
      <c r="M232" s="293">
        <v>8</v>
      </c>
      <c r="N232" s="293">
        <v>8</v>
      </c>
      <c r="O232" s="290" t="s">
        <v>184</v>
      </c>
      <c r="P232" s="293">
        <v>15.5</v>
      </c>
      <c r="Q232" s="294">
        <v>91.92</v>
      </c>
      <c r="R232" s="294">
        <v>24.44</v>
      </c>
      <c r="S232" s="294">
        <v>0</v>
      </c>
      <c r="T232" s="294">
        <v>0</v>
      </c>
      <c r="U232" s="294">
        <v>116.36</v>
      </c>
    </row>
    <row r="233" spans="1:21" hidden="1" x14ac:dyDescent="0.25">
      <c r="A233" s="291">
        <v>704317</v>
      </c>
      <c r="B233" s="290" t="s">
        <v>185</v>
      </c>
      <c r="C233" s="292">
        <v>40437</v>
      </c>
      <c r="D233" s="292">
        <v>40438</v>
      </c>
      <c r="E233" s="290" t="s">
        <v>186</v>
      </c>
      <c r="F233" s="290" t="s">
        <v>187</v>
      </c>
      <c r="G233" s="290" t="s">
        <v>241</v>
      </c>
      <c r="H233" s="290" t="s">
        <v>181</v>
      </c>
      <c r="I233" s="290" t="s">
        <v>182</v>
      </c>
      <c r="J233" s="290" t="s">
        <v>183</v>
      </c>
      <c r="K233" s="290" t="s">
        <v>183</v>
      </c>
      <c r="L233" s="293">
        <v>0</v>
      </c>
      <c r="M233" s="293">
        <v>6.5</v>
      </c>
      <c r="N233" s="293">
        <v>6.5</v>
      </c>
      <c r="O233" s="290" t="s">
        <v>184</v>
      </c>
      <c r="P233" s="293">
        <v>3</v>
      </c>
      <c r="Q233" s="294">
        <v>36.299999999999997</v>
      </c>
      <c r="R233" s="294">
        <v>12.22</v>
      </c>
      <c r="S233" s="294">
        <v>0</v>
      </c>
      <c r="T233" s="294">
        <v>0</v>
      </c>
      <c r="U233" s="294">
        <v>48.52</v>
      </c>
    </row>
    <row r="234" spans="1:21" hidden="1" x14ac:dyDescent="0.25">
      <c r="A234" s="291">
        <v>700184</v>
      </c>
      <c r="B234" s="290" t="s">
        <v>185</v>
      </c>
      <c r="C234" s="292">
        <v>40423</v>
      </c>
      <c r="D234" s="292">
        <v>40424</v>
      </c>
      <c r="E234" s="290" t="s">
        <v>186</v>
      </c>
      <c r="F234" s="290" t="s">
        <v>192</v>
      </c>
      <c r="G234" s="290" t="s">
        <v>241</v>
      </c>
      <c r="H234" s="290" t="s">
        <v>181</v>
      </c>
      <c r="I234" s="290" t="s">
        <v>182</v>
      </c>
      <c r="J234" s="290" t="s">
        <v>183</v>
      </c>
      <c r="K234" s="290" t="s">
        <v>183</v>
      </c>
      <c r="L234" s="293">
        <v>0</v>
      </c>
      <c r="M234" s="293">
        <v>0</v>
      </c>
      <c r="N234" s="293">
        <v>0</v>
      </c>
      <c r="O234" s="290" t="s">
        <v>184</v>
      </c>
      <c r="P234" s="293">
        <v>26.5</v>
      </c>
      <c r="Q234" s="294">
        <v>108.9</v>
      </c>
      <c r="R234" s="294">
        <v>36.659999999999997</v>
      </c>
      <c r="S234" s="294">
        <v>0</v>
      </c>
      <c r="T234" s="294">
        <v>0</v>
      </c>
      <c r="U234" s="294">
        <v>145.56</v>
      </c>
    </row>
    <row r="235" spans="1:21" hidden="1" x14ac:dyDescent="0.25">
      <c r="A235" s="291">
        <v>697860</v>
      </c>
      <c r="B235" s="290" t="s">
        <v>185</v>
      </c>
      <c r="C235" s="292">
        <v>40416</v>
      </c>
      <c r="D235" s="292">
        <v>40417</v>
      </c>
      <c r="E235" s="290" t="s">
        <v>186</v>
      </c>
      <c r="F235" s="290" t="s">
        <v>187</v>
      </c>
      <c r="G235" s="290" t="s">
        <v>242</v>
      </c>
      <c r="H235" s="290" t="s">
        <v>181</v>
      </c>
      <c r="I235" s="290" t="s">
        <v>194</v>
      </c>
      <c r="J235" s="290" t="s">
        <v>183</v>
      </c>
      <c r="K235" s="290" t="s">
        <v>183</v>
      </c>
      <c r="L235" s="293">
        <v>0</v>
      </c>
      <c r="M235" s="293">
        <v>0.5</v>
      </c>
      <c r="N235" s="293">
        <v>0.5</v>
      </c>
      <c r="O235" s="290" t="s">
        <v>184</v>
      </c>
      <c r="P235" s="293">
        <v>2</v>
      </c>
      <c r="Q235" s="294">
        <v>22.98</v>
      </c>
      <c r="R235" s="294">
        <v>12.22</v>
      </c>
      <c r="S235" s="294">
        <v>0</v>
      </c>
      <c r="T235" s="294">
        <v>0</v>
      </c>
      <c r="U235" s="294">
        <v>35.200000000000003</v>
      </c>
    </row>
    <row r="236" spans="1:21" hidden="1" x14ac:dyDescent="0.25">
      <c r="A236" s="291">
        <v>689346</v>
      </c>
      <c r="B236" s="290" t="s">
        <v>185</v>
      </c>
      <c r="C236" s="292">
        <v>40389</v>
      </c>
      <c r="D236" s="292">
        <v>40392</v>
      </c>
      <c r="E236" s="290" t="s">
        <v>186</v>
      </c>
      <c r="F236" s="290" t="s">
        <v>192</v>
      </c>
      <c r="G236" s="290" t="s">
        <v>241</v>
      </c>
      <c r="H236" s="290" t="s">
        <v>181</v>
      </c>
      <c r="I236" s="290" t="s">
        <v>182</v>
      </c>
      <c r="J236" s="290" t="s">
        <v>183</v>
      </c>
      <c r="K236" s="290" t="s">
        <v>183</v>
      </c>
      <c r="L236" s="293">
        <v>0</v>
      </c>
      <c r="M236" s="293">
        <v>0.5</v>
      </c>
      <c r="N236" s="293">
        <v>0.5</v>
      </c>
      <c r="O236" s="290" t="s">
        <v>184</v>
      </c>
      <c r="P236" s="293">
        <v>12</v>
      </c>
      <c r="Q236" s="294">
        <v>91.92</v>
      </c>
      <c r="R236" s="294">
        <v>24.44</v>
      </c>
      <c r="S236" s="294">
        <v>0</v>
      </c>
      <c r="T236" s="294">
        <v>0</v>
      </c>
      <c r="U236" s="294">
        <v>116.36</v>
      </c>
    </row>
    <row r="237" spans="1:21" hidden="1" x14ac:dyDescent="0.25">
      <c r="A237" s="291">
        <v>685970</v>
      </c>
      <c r="B237" s="290" t="s">
        <v>185</v>
      </c>
      <c r="C237" s="292">
        <v>40380</v>
      </c>
      <c r="D237" s="292">
        <v>40381</v>
      </c>
      <c r="E237" s="290" t="s">
        <v>186</v>
      </c>
      <c r="F237" s="290" t="s">
        <v>192</v>
      </c>
      <c r="G237" s="290" t="s">
        <v>241</v>
      </c>
      <c r="H237" s="290" t="s">
        <v>181</v>
      </c>
      <c r="I237" s="290" t="s">
        <v>182</v>
      </c>
      <c r="J237" s="290" t="s">
        <v>183</v>
      </c>
      <c r="K237" s="290" t="s">
        <v>183</v>
      </c>
      <c r="L237" s="293">
        <v>0</v>
      </c>
      <c r="M237" s="293">
        <v>0</v>
      </c>
      <c r="N237" s="293">
        <v>0</v>
      </c>
      <c r="O237" s="290" t="s">
        <v>184</v>
      </c>
      <c r="P237" s="293">
        <v>0</v>
      </c>
      <c r="Q237" s="294">
        <v>89.42</v>
      </c>
      <c r="R237" s="294">
        <v>24.44</v>
      </c>
      <c r="S237" s="294">
        <v>0</v>
      </c>
      <c r="T237" s="294">
        <v>0</v>
      </c>
      <c r="U237" s="294">
        <v>113.86</v>
      </c>
    </row>
    <row r="238" spans="1:21" hidden="1" x14ac:dyDescent="0.25">
      <c r="A238" s="291">
        <v>685965</v>
      </c>
      <c r="B238" s="290" t="s">
        <v>185</v>
      </c>
      <c r="C238" s="292">
        <v>40380</v>
      </c>
      <c r="D238" s="292">
        <v>40381</v>
      </c>
      <c r="E238" s="290" t="s">
        <v>186</v>
      </c>
      <c r="F238" s="290" t="s">
        <v>192</v>
      </c>
      <c r="G238" s="290" t="s">
        <v>241</v>
      </c>
      <c r="H238" s="290" t="s">
        <v>181</v>
      </c>
      <c r="I238" s="290" t="s">
        <v>182</v>
      </c>
      <c r="J238" s="290" t="s">
        <v>183</v>
      </c>
      <c r="K238" s="290" t="s">
        <v>183</v>
      </c>
      <c r="L238" s="293">
        <v>0</v>
      </c>
      <c r="M238" s="293">
        <v>1.5</v>
      </c>
      <c r="N238" s="293">
        <v>1.5</v>
      </c>
      <c r="O238" s="290" t="s">
        <v>184</v>
      </c>
      <c r="P238" s="293">
        <v>0</v>
      </c>
      <c r="Q238" s="294">
        <v>44.71</v>
      </c>
      <c r="R238" s="294">
        <v>12.22</v>
      </c>
      <c r="S238" s="294">
        <v>0</v>
      </c>
      <c r="T238" s="294">
        <v>0</v>
      </c>
      <c r="U238" s="294">
        <v>56.93</v>
      </c>
    </row>
    <row r="239" spans="1:21" hidden="1" x14ac:dyDescent="0.25">
      <c r="A239" s="291">
        <v>685335</v>
      </c>
      <c r="B239" s="290" t="s">
        <v>185</v>
      </c>
      <c r="C239" s="292">
        <v>40379</v>
      </c>
      <c r="D239" s="292">
        <v>40380</v>
      </c>
      <c r="E239" s="290" t="s">
        <v>186</v>
      </c>
      <c r="F239" s="290" t="s">
        <v>187</v>
      </c>
      <c r="G239" s="290" t="s">
        <v>241</v>
      </c>
      <c r="H239" s="290" t="s">
        <v>181</v>
      </c>
      <c r="I239" s="290" t="s">
        <v>182</v>
      </c>
      <c r="J239" s="290" t="s">
        <v>183</v>
      </c>
      <c r="K239" s="290" t="s">
        <v>183</v>
      </c>
      <c r="L239" s="293">
        <v>0</v>
      </c>
      <c r="M239" s="293">
        <v>2</v>
      </c>
      <c r="N239" s="293">
        <v>2</v>
      </c>
      <c r="O239" s="290" t="s">
        <v>184</v>
      </c>
      <c r="P239" s="293">
        <v>2</v>
      </c>
      <c r="Q239" s="294">
        <v>44.71</v>
      </c>
      <c r="R239" s="294">
        <v>12.22</v>
      </c>
      <c r="S239" s="294">
        <v>0</v>
      </c>
      <c r="T239" s="294">
        <v>0</v>
      </c>
      <c r="U239" s="294">
        <v>56.93</v>
      </c>
    </row>
    <row r="240" spans="1:21" hidden="1" x14ac:dyDescent="0.25">
      <c r="A240" s="291">
        <v>683464</v>
      </c>
      <c r="B240" s="290" t="s">
        <v>185</v>
      </c>
      <c r="C240" s="292">
        <v>40373</v>
      </c>
      <c r="D240" s="292">
        <v>40374</v>
      </c>
      <c r="E240" s="290" t="s">
        <v>186</v>
      </c>
      <c r="F240" s="290" t="s">
        <v>192</v>
      </c>
      <c r="G240" s="290" t="s">
        <v>241</v>
      </c>
      <c r="H240" s="290" t="s">
        <v>181</v>
      </c>
      <c r="I240" s="290" t="s">
        <v>182</v>
      </c>
      <c r="J240" s="290" t="s">
        <v>183</v>
      </c>
      <c r="K240" s="290" t="s">
        <v>183</v>
      </c>
      <c r="L240" s="293">
        <v>0</v>
      </c>
      <c r="M240" s="293">
        <v>10</v>
      </c>
      <c r="N240" s="293">
        <v>10</v>
      </c>
      <c r="O240" s="290" t="s">
        <v>184</v>
      </c>
      <c r="P240" s="293">
        <v>7.25</v>
      </c>
      <c r="Q240" s="294">
        <v>178.84</v>
      </c>
      <c r="R240" s="294">
        <v>48.88</v>
      </c>
      <c r="S240" s="294">
        <v>0</v>
      </c>
      <c r="T240" s="294">
        <v>0</v>
      </c>
      <c r="U240" s="294">
        <v>227.72</v>
      </c>
    </row>
    <row r="241" spans="1:21" hidden="1" x14ac:dyDescent="0.25">
      <c r="A241" s="291">
        <v>680305</v>
      </c>
      <c r="B241" s="290" t="s">
        <v>185</v>
      </c>
      <c r="C241" s="292">
        <v>40360</v>
      </c>
      <c r="D241" s="292">
        <v>40361</v>
      </c>
      <c r="E241" s="290" t="s">
        <v>186</v>
      </c>
      <c r="F241" s="290" t="s">
        <v>187</v>
      </c>
      <c r="G241" s="290" t="s">
        <v>241</v>
      </c>
      <c r="H241" s="290" t="s">
        <v>181</v>
      </c>
      <c r="I241" s="290" t="s">
        <v>182</v>
      </c>
      <c r="J241" s="290" t="s">
        <v>183</v>
      </c>
      <c r="K241" s="290" t="s">
        <v>183</v>
      </c>
      <c r="L241" s="293">
        <v>0</v>
      </c>
      <c r="M241" s="293">
        <v>0</v>
      </c>
      <c r="N241" s="293">
        <v>0</v>
      </c>
      <c r="O241" s="290" t="s">
        <v>184</v>
      </c>
      <c r="P241" s="293">
        <v>2</v>
      </c>
      <c r="Q241" s="294">
        <v>178.84</v>
      </c>
      <c r="R241" s="294">
        <v>48.88</v>
      </c>
      <c r="S241" s="294">
        <v>0</v>
      </c>
      <c r="T241" s="294">
        <v>0</v>
      </c>
      <c r="U241" s="294">
        <v>227.72</v>
      </c>
    </row>
    <row r="242" spans="1:21" hidden="1" x14ac:dyDescent="0.25">
      <c r="A242" s="291">
        <v>668866</v>
      </c>
      <c r="B242" s="290" t="s">
        <v>185</v>
      </c>
      <c r="C242" s="292">
        <v>40319</v>
      </c>
      <c r="D242" s="292">
        <v>40319.333333333336</v>
      </c>
      <c r="E242" s="290" t="s">
        <v>186</v>
      </c>
      <c r="F242" s="290" t="s">
        <v>192</v>
      </c>
      <c r="G242" s="290" t="s">
        <v>241</v>
      </c>
      <c r="H242" s="290" t="s">
        <v>181</v>
      </c>
      <c r="I242" s="290" t="s">
        <v>182</v>
      </c>
      <c r="J242" s="290" t="s">
        <v>183</v>
      </c>
      <c r="K242" s="290" t="s">
        <v>183</v>
      </c>
      <c r="L242" s="293">
        <v>0</v>
      </c>
      <c r="M242" s="293">
        <v>0</v>
      </c>
      <c r="N242" s="293">
        <v>28.173999999999999</v>
      </c>
      <c r="O242" s="290" t="s">
        <v>184</v>
      </c>
      <c r="P242" s="293">
        <v>13.32</v>
      </c>
      <c r="Q242" s="294">
        <v>65.17</v>
      </c>
      <c r="R242" s="294">
        <v>17.84</v>
      </c>
      <c r="S242" s="294">
        <v>0</v>
      </c>
      <c r="T242" s="294">
        <v>0</v>
      </c>
      <c r="U242" s="294">
        <v>83.02</v>
      </c>
    </row>
    <row r="243" spans="1:21" hidden="1" x14ac:dyDescent="0.25">
      <c r="A243" s="291">
        <v>668866</v>
      </c>
      <c r="B243" s="290" t="s">
        <v>185</v>
      </c>
      <c r="C243" s="292">
        <v>40319</v>
      </c>
      <c r="D243" s="292">
        <v>40319.333333333336</v>
      </c>
      <c r="E243" s="290" t="s">
        <v>186</v>
      </c>
      <c r="F243" s="290" t="s">
        <v>192</v>
      </c>
      <c r="G243" s="290" t="s">
        <v>241</v>
      </c>
      <c r="H243" s="290" t="s">
        <v>181</v>
      </c>
      <c r="I243" s="290" t="s">
        <v>182</v>
      </c>
      <c r="J243" s="290" t="s">
        <v>183</v>
      </c>
      <c r="K243" s="290" t="s">
        <v>183</v>
      </c>
      <c r="L243" s="293">
        <v>0</v>
      </c>
      <c r="M243" s="293">
        <v>29.643999999999998</v>
      </c>
      <c r="N243" s="293">
        <v>38.479999999999997</v>
      </c>
      <c r="O243" s="290" t="s">
        <v>184</v>
      </c>
      <c r="P243" s="293">
        <v>4.2</v>
      </c>
      <c r="Q243" s="294">
        <v>20.53</v>
      </c>
      <c r="R243" s="294">
        <v>5.62</v>
      </c>
      <c r="S243" s="294">
        <v>0</v>
      </c>
      <c r="T243" s="294">
        <v>0</v>
      </c>
      <c r="U243" s="294">
        <v>26.16</v>
      </c>
    </row>
    <row r="244" spans="1:21" hidden="1" x14ac:dyDescent="0.25">
      <c r="A244" s="291">
        <v>668424</v>
      </c>
      <c r="B244" s="290" t="s">
        <v>185</v>
      </c>
      <c r="C244" s="292">
        <v>40318</v>
      </c>
      <c r="D244" s="292">
        <v>40318.333333333336</v>
      </c>
      <c r="E244" s="290" t="s">
        <v>186</v>
      </c>
      <c r="F244" s="290" t="s">
        <v>192</v>
      </c>
      <c r="G244" s="290" t="s">
        <v>241</v>
      </c>
      <c r="H244" s="290" t="s">
        <v>181</v>
      </c>
      <c r="I244" s="290" t="s">
        <v>182</v>
      </c>
      <c r="J244" s="290" t="s">
        <v>183</v>
      </c>
      <c r="K244" s="290" t="s">
        <v>183</v>
      </c>
      <c r="L244" s="293">
        <v>0</v>
      </c>
      <c r="M244" s="293">
        <v>0</v>
      </c>
      <c r="N244" s="293">
        <v>28.173999999999999</v>
      </c>
      <c r="O244" s="290" t="s">
        <v>184</v>
      </c>
      <c r="P244" s="293">
        <v>23</v>
      </c>
      <c r="Q244" s="294">
        <v>162.94</v>
      </c>
      <c r="R244" s="294">
        <v>44.6</v>
      </c>
      <c r="S244" s="294">
        <v>0</v>
      </c>
      <c r="T244" s="294">
        <v>0</v>
      </c>
      <c r="U244" s="294">
        <v>207.54</v>
      </c>
    </row>
    <row r="245" spans="1:21" hidden="1" x14ac:dyDescent="0.25">
      <c r="A245" s="291">
        <v>668424</v>
      </c>
      <c r="B245" s="290" t="s">
        <v>185</v>
      </c>
      <c r="C245" s="292">
        <v>40318</v>
      </c>
      <c r="D245" s="292">
        <v>40318.333333333336</v>
      </c>
      <c r="E245" s="290" t="s">
        <v>186</v>
      </c>
      <c r="F245" s="290" t="s">
        <v>192</v>
      </c>
      <c r="G245" s="290" t="s">
        <v>241</v>
      </c>
      <c r="H245" s="290" t="s">
        <v>181</v>
      </c>
      <c r="I245" s="290" t="s">
        <v>182</v>
      </c>
      <c r="J245" s="290" t="s">
        <v>183</v>
      </c>
      <c r="K245" s="290" t="s">
        <v>183</v>
      </c>
      <c r="L245" s="293">
        <v>0</v>
      </c>
      <c r="M245" s="293">
        <v>29.643999999999998</v>
      </c>
      <c r="N245" s="293">
        <v>38.479999999999997</v>
      </c>
      <c r="O245" s="290" t="s">
        <v>184</v>
      </c>
      <c r="P245" s="293">
        <v>7.25</v>
      </c>
      <c r="Q245" s="294">
        <v>51.34</v>
      </c>
      <c r="R245" s="294">
        <v>14.05</v>
      </c>
      <c r="S245" s="294">
        <v>0</v>
      </c>
      <c r="T245" s="294">
        <v>0</v>
      </c>
      <c r="U245" s="294">
        <v>65.39</v>
      </c>
    </row>
    <row r="246" spans="1:21" hidden="1" x14ac:dyDescent="0.25">
      <c r="A246" s="291">
        <v>668072</v>
      </c>
      <c r="B246" s="290" t="s">
        <v>185</v>
      </c>
      <c r="C246" s="292">
        <v>40317</v>
      </c>
      <c r="D246" s="292">
        <v>40317.333333333336</v>
      </c>
      <c r="E246" s="290" t="s">
        <v>186</v>
      </c>
      <c r="F246" s="290" t="s">
        <v>192</v>
      </c>
      <c r="G246" s="290" t="s">
        <v>241</v>
      </c>
      <c r="H246" s="290" t="s">
        <v>181</v>
      </c>
      <c r="I246" s="290" t="s">
        <v>182</v>
      </c>
      <c r="J246" s="290" t="s">
        <v>183</v>
      </c>
      <c r="K246" s="290" t="s">
        <v>183</v>
      </c>
      <c r="L246" s="293">
        <v>0</v>
      </c>
      <c r="M246" s="293">
        <v>0</v>
      </c>
      <c r="N246" s="293">
        <v>28.173999999999999</v>
      </c>
      <c r="O246" s="290" t="s">
        <v>184</v>
      </c>
      <c r="P246" s="293">
        <v>17.16</v>
      </c>
      <c r="Q246" s="294">
        <v>130.35</v>
      </c>
      <c r="R246" s="294">
        <v>103.08</v>
      </c>
      <c r="S246" s="294">
        <v>0</v>
      </c>
      <c r="T246" s="294">
        <v>0</v>
      </c>
      <c r="U246" s="294">
        <v>233.42</v>
      </c>
    </row>
    <row r="247" spans="1:21" hidden="1" x14ac:dyDescent="0.25">
      <c r="A247" s="291">
        <v>668072</v>
      </c>
      <c r="B247" s="290" t="s">
        <v>185</v>
      </c>
      <c r="C247" s="292">
        <v>40317</v>
      </c>
      <c r="D247" s="292">
        <v>40317.333333333336</v>
      </c>
      <c r="E247" s="290" t="s">
        <v>186</v>
      </c>
      <c r="F247" s="290" t="s">
        <v>192</v>
      </c>
      <c r="G247" s="290" t="s">
        <v>241</v>
      </c>
      <c r="H247" s="290" t="s">
        <v>181</v>
      </c>
      <c r="I247" s="290" t="s">
        <v>182</v>
      </c>
      <c r="J247" s="290" t="s">
        <v>183</v>
      </c>
      <c r="K247" s="290" t="s">
        <v>183</v>
      </c>
      <c r="L247" s="293">
        <v>0</v>
      </c>
      <c r="M247" s="293">
        <v>29.643999999999998</v>
      </c>
      <c r="N247" s="293">
        <v>38.479999999999997</v>
      </c>
      <c r="O247" s="290" t="s">
        <v>184</v>
      </c>
      <c r="P247" s="293">
        <v>5.41</v>
      </c>
      <c r="Q247" s="294">
        <v>41.07</v>
      </c>
      <c r="R247" s="294">
        <v>32.479999999999997</v>
      </c>
      <c r="S247" s="294">
        <v>0</v>
      </c>
      <c r="T247" s="294">
        <v>0</v>
      </c>
      <c r="U247" s="294">
        <v>73.540000000000006</v>
      </c>
    </row>
    <row r="248" spans="1:21" hidden="1" x14ac:dyDescent="0.25">
      <c r="A248" s="291">
        <v>668071</v>
      </c>
      <c r="B248" s="290" t="s">
        <v>185</v>
      </c>
      <c r="C248" s="292">
        <v>40317</v>
      </c>
      <c r="D248" s="292">
        <v>40317.333333333336</v>
      </c>
      <c r="E248" s="290" t="s">
        <v>190</v>
      </c>
      <c r="F248" s="290" t="s">
        <v>192</v>
      </c>
      <c r="G248" s="290" t="s">
        <v>241</v>
      </c>
      <c r="H248" s="290" t="s">
        <v>181</v>
      </c>
      <c r="I248" s="290" t="s">
        <v>182</v>
      </c>
      <c r="J248" s="290" t="s">
        <v>183</v>
      </c>
      <c r="K248" s="290" t="s">
        <v>183</v>
      </c>
      <c r="L248" s="293">
        <v>0</v>
      </c>
      <c r="M248" s="293">
        <v>0</v>
      </c>
      <c r="N248" s="293">
        <v>28.173999999999999</v>
      </c>
      <c r="O248" s="290" t="s">
        <v>184</v>
      </c>
      <c r="P248" s="293">
        <v>46.72</v>
      </c>
      <c r="Q248" s="294">
        <v>391.05</v>
      </c>
      <c r="R248" s="294">
        <v>174.44</v>
      </c>
      <c r="S248" s="294">
        <v>0</v>
      </c>
      <c r="T248" s="294">
        <v>0</v>
      </c>
      <c r="U248" s="294">
        <v>565.49</v>
      </c>
    </row>
    <row r="249" spans="1:21" hidden="1" x14ac:dyDescent="0.25">
      <c r="A249" s="291">
        <v>668071</v>
      </c>
      <c r="B249" s="290" t="s">
        <v>185</v>
      </c>
      <c r="C249" s="292">
        <v>40317</v>
      </c>
      <c r="D249" s="292">
        <v>40317.333333333336</v>
      </c>
      <c r="E249" s="290" t="s">
        <v>190</v>
      </c>
      <c r="F249" s="290" t="s">
        <v>192</v>
      </c>
      <c r="G249" s="290" t="s">
        <v>241</v>
      </c>
      <c r="H249" s="290" t="s">
        <v>181</v>
      </c>
      <c r="I249" s="290" t="s">
        <v>182</v>
      </c>
      <c r="J249" s="290" t="s">
        <v>183</v>
      </c>
      <c r="K249" s="290" t="s">
        <v>183</v>
      </c>
      <c r="L249" s="293">
        <v>0</v>
      </c>
      <c r="M249" s="293">
        <v>29.643999999999998</v>
      </c>
      <c r="N249" s="293">
        <v>38.479999999999997</v>
      </c>
      <c r="O249" s="290" t="s">
        <v>184</v>
      </c>
      <c r="P249" s="293">
        <v>14.72</v>
      </c>
      <c r="Q249" s="294">
        <v>123.21</v>
      </c>
      <c r="R249" s="294">
        <v>54.96</v>
      </c>
      <c r="S249" s="294">
        <v>0</v>
      </c>
      <c r="T249" s="294">
        <v>0</v>
      </c>
      <c r="U249" s="294">
        <v>178.17</v>
      </c>
    </row>
    <row r="250" spans="1:21" hidden="1" x14ac:dyDescent="0.25">
      <c r="A250" s="291">
        <v>663318</v>
      </c>
      <c r="B250" s="290" t="s">
        <v>185</v>
      </c>
      <c r="C250" s="292">
        <v>40302</v>
      </c>
      <c r="D250" s="292">
        <v>40302.333333333336</v>
      </c>
      <c r="E250" s="290" t="s">
        <v>186</v>
      </c>
      <c r="F250" s="290" t="s">
        <v>192</v>
      </c>
      <c r="G250" s="290" t="s">
        <v>241</v>
      </c>
      <c r="H250" s="290" t="s">
        <v>181</v>
      </c>
      <c r="I250" s="290" t="s">
        <v>182</v>
      </c>
      <c r="J250" s="290" t="s">
        <v>183</v>
      </c>
      <c r="K250" s="290" t="s">
        <v>183</v>
      </c>
      <c r="L250" s="293">
        <v>0</v>
      </c>
      <c r="M250" s="293">
        <v>0</v>
      </c>
      <c r="N250" s="293">
        <v>28.173999999999999</v>
      </c>
      <c r="O250" s="290" t="s">
        <v>184</v>
      </c>
      <c r="P250" s="293">
        <v>26.28</v>
      </c>
      <c r="Q250" s="294">
        <v>264.2</v>
      </c>
      <c r="R250" s="294">
        <v>53.52</v>
      </c>
      <c r="S250" s="294">
        <v>0</v>
      </c>
      <c r="T250" s="294">
        <v>0</v>
      </c>
      <c r="U250" s="294">
        <v>317.73</v>
      </c>
    </row>
    <row r="251" spans="1:21" hidden="1" x14ac:dyDescent="0.25">
      <c r="A251" s="291">
        <v>663318</v>
      </c>
      <c r="B251" s="290" t="s">
        <v>185</v>
      </c>
      <c r="C251" s="292">
        <v>40302</v>
      </c>
      <c r="D251" s="292">
        <v>40302.333333333336</v>
      </c>
      <c r="E251" s="290" t="s">
        <v>186</v>
      </c>
      <c r="F251" s="290" t="s">
        <v>192</v>
      </c>
      <c r="G251" s="290" t="s">
        <v>241</v>
      </c>
      <c r="H251" s="290" t="s">
        <v>181</v>
      </c>
      <c r="I251" s="290" t="s">
        <v>182</v>
      </c>
      <c r="J251" s="290" t="s">
        <v>183</v>
      </c>
      <c r="K251" s="290" t="s">
        <v>183</v>
      </c>
      <c r="L251" s="293">
        <v>0</v>
      </c>
      <c r="M251" s="293">
        <v>29.643999999999998</v>
      </c>
      <c r="N251" s="293">
        <v>38.479999999999997</v>
      </c>
      <c r="O251" s="290" t="s">
        <v>184</v>
      </c>
      <c r="P251" s="293">
        <v>8.2799999999999994</v>
      </c>
      <c r="Q251" s="294">
        <v>83.24</v>
      </c>
      <c r="R251" s="294">
        <v>16.86</v>
      </c>
      <c r="S251" s="294">
        <v>0</v>
      </c>
      <c r="T251" s="294">
        <v>0</v>
      </c>
      <c r="U251" s="294">
        <v>100.11</v>
      </c>
    </row>
    <row r="252" spans="1:21" hidden="1" x14ac:dyDescent="0.25">
      <c r="A252" s="291">
        <v>660376</v>
      </c>
      <c r="B252" s="290" t="s">
        <v>185</v>
      </c>
      <c r="C252" s="292">
        <v>40290</v>
      </c>
      <c r="D252" s="292">
        <v>40290.333333333336</v>
      </c>
      <c r="E252" s="290" t="s">
        <v>186</v>
      </c>
      <c r="F252" s="290" t="s">
        <v>192</v>
      </c>
      <c r="G252" s="290" t="s">
        <v>241</v>
      </c>
      <c r="H252" s="290" t="s">
        <v>181</v>
      </c>
      <c r="I252" s="290" t="s">
        <v>182</v>
      </c>
      <c r="J252" s="290" t="s">
        <v>183</v>
      </c>
      <c r="K252" s="290" t="s">
        <v>183</v>
      </c>
      <c r="L252" s="293">
        <v>0</v>
      </c>
      <c r="M252" s="293">
        <v>0</v>
      </c>
      <c r="N252" s="293">
        <v>28.173999999999999</v>
      </c>
      <c r="O252" s="290" t="s">
        <v>184</v>
      </c>
      <c r="P252" s="293">
        <v>11.13</v>
      </c>
      <c r="Q252" s="294">
        <v>65.17</v>
      </c>
      <c r="R252" s="294">
        <v>17.84</v>
      </c>
      <c r="S252" s="294">
        <v>0</v>
      </c>
      <c r="T252" s="294">
        <v>0</v>
      </c>
      <c r="U252" s="294">
        <v>83.02</v>
      </c>
    </row>
    <row r="253" spans="1:21" hidden="1" x14ac:dyDescent="0.25">
      <c r="A253" s="291">
        <v>660376</v>
      </c>
      <c r="B253" s="290" t="s">
        <v>185</v>
      </c>
      <c r="C253" s="292">
        <v>40290</v>
      </c>
      <c r="D253" s="292">
        <v>40290.333333333336</v>
      </c>
      <c r="E253" s="290" t="s">
        <v>186</v>
      </c>
      <c r="F253" s="290" t="s">
        <v>192</v>
      </c>
      <c r="G253" s="290" t="s">
        <v>241</v>
      </c>
      <c r="H253" s="290" t="s">
        <v>181</v>
      </c>
      <c r="I253" s="290" t="s">
        <v>182</v>
      </c>
      <c r="J253" s="290" t="s">
        <v>183</v>
      </c>
      <c r="K253" s="290" t="s">
        <v>183</v>
      </c>
      <c r="L253" s="293">
        <v>0</v>
      </c>
      <c r="M253" s="293">
        <v>29.643999999999998</v>
      </c>
      <c r="N253" s="293">
        <v>38.479999999999997</v>
      </c>
      <c r="O253" s="290" t="s">
        <v>184</v>
      </c>
      <c r="P253" s="293">
        <v>3.51</v>
      </c>
      <c r="Q253" s="294">
        <v>20.53</v>
      </c>
      <c r="R253" s="294">
        <v>5.62</v>
      </c>
      <c r="S253" s="294">
        <v>0</v>
      </c>
      <c r="T253" s="294">
        <v>0</v>
      </c>
      <c r="U253" s="294">
        <v>26.16</v>
      </c>
    </row>
    <row r="254" spans="1:21" hidden="1" x14ac:dyDescent="0.25">
      <c r="A254" s="291">
        <v>657994</v>
      </c>
      <c r="B254" s="290" t="s">
        <v>212</v>
      </c>
      <c r="C254" s="292">
        <v>40283</v>
      </c>
      <c r="D254" s="292">
        <v>40359.333333333336</v>
      </c>
      <c r="E254" s="290" t="s">
        <v>240</v>
      </c>
      <c r="F254" s="290" t="s">
        <v>230</v>
      </c>
      <c r="G254" s="290" t="s">
        <v>241</v>
      </c>
      <c r="H254" s="290" t="s">
        <v>181</v>
      </c>
      <c r="I254" s="290" t="s">
        <v>182</v>
      </c>
      <c r="J254" s="290" t="s">
        <v>183</v>
      </c>
      <c r="K254" s="290" t="s">
        <v>183</v>
      </c>
      <c r="L254" s="293">
        <v>0</v>
      </c>
      <c r="M254" s="293">
        <v>0</v>
      </c>
      <c r="N254" s="293">
        <v>28.173999999999999</v>
      </c>
      <c r="O254" s="290" t="s">
        <v>184</v>
      </c>
      <c r="P254" s="293">
        <v>36660.6</v>
      </c>
      <c r="Q254" s="294">
        <v>292.35000000000002</v>
      </c>
      <c r="R254" s="294">
        <v>128.47999999999999</v>
      </c>
      <c r="S254" s="294">
        <v>224.59</v>
      </c>
      <c r="T254" s="294">
        <v>0</v>
      </c>
      <c r="U254" s="294">
        <v>645.41999999999996</v>
      </c>
    </row>
    <row r="255" spans="1:21" hidden="1" x14ac:dyDescent="0.25">
      <c r="A255" s="291">
        <v>657994</v>
      </c>
      <c r="B255" s="290" t="s">
        <v>212</v>
      </c>
      <c r="C255" s="292">
        <v>40283</v>
      </c>
      <c r="D255" s="292">
        <v>40359.333333333336</v>
      </c>
      <c r="E255" s="290" t="s">
        <v>240</v>
      </c>
      <c r="F255" s="290" t="s">
        <v>230</v>
      </c>
      <c r="G255" s="290" t="s">
        <v>241</v>
      </c>
      <c r="H255" s="290" t="s">
        <v>181</v>
      </c>
      <c r="I255" s="290" t="s">
        <v>182</v>
      </c>
      <c r="J255" s="290" t="s">
        <v>183</v>
      </c>
      <c r="K255" s="290" t="s">
        <v>183</v>
      </c>
      <c r="L255" s="293">
        <v>0</v>
      </c>
      <c r="M255" s="293">
        <v>29.643999999999998</v>
      </c>
      <c r="N255" s="293">
        <v>38.479999999999997</v>
      </c>
      <c r="O255" s="290" t="s">
        <v>184</v>
      </c>
      <c r="P255" s="293">
        <v>11550.6</v>
      </c>
      <c r="Q255" s="294">
        <v>92.11</v>
      </c>
      <c r="R255" s="294">
        <v>40.479999999999997</v>
      </c>
      <c r="S255" s="294">
        <v>70.760000000000005</v>
      </c>
      <c r="T255" s="294">
        <v>0</v>
      </c>
      <c r="U255" s="294">
        <v>203.35</v>
      </c>
    </row>
    <row r="256" spans="1:21" hidden="1" x14ac:dyDescent="0.25">
      <c r="A256" s="291">
        <v>657831</v>
      </c>
      <c r="B256" s="290" t="s">
        <v>185</v>
      </c>
      <c r="C256" s="292">
        <v>40282</v>
      </c>
      <c r="D256" s="292">
        <v>40282.333333333336</v>
      </c>
      <c r="E256" s="290" t="s">
        <v>186</v>
      </c>
      <c r="F256" s="290" t="s">
        <v>192</v>
      </c>
      <c r="G256" s="290" t="s">
        <v>241</v>
      </c>
      <c r="H256" s="290" t="s">
        <v>181</v>
      </c>
      <c r="I256" s="290" t="s">
        <v>182</v>
      </c>
      <c r="J256" s="290" t="s">
        <v>183</v>
      </c>
      <c r="K256" s="290" t="s">
        <v>183</v>
      </c>
      <c r="L256" s="293">
        <v>0</v>
      </c>
      <c r="M256" s="293">
        <v>0</v>
      </c>
      <c r="N256" s="293">
        <v>28.173999999999999</v>
      </c>
      <c r="O256" s="290" t="s">
        <v>184</v>
      </c>
      <c r="P256" s="293">
        <v>11.86</v>
      </c>
      <c r="Q256" s="294">
        <v>88.07</v>
      </c>
      <c r="R256" s="294">
        <v>17.84</v>
      </c>
      <c r="S256" s="294">
        <v>0</v>
      </c>
      <c r="T256" s="294">
        <v>0</v>
      </c>
      <c r="U256" s="294">
        <v>105.91</v>
      </c>
    </row>
    <row r="257" spans="1:21" hidden="1" x14ac:dyDescent="0.25">
      <c r="A257" s="291">
        <v>657831</v>
      </c>
      <c r="B257" s="290" t="s">
        <v>185</v>
      </c>
      <c r="C257" s="292">
        <v>40282</v>
      </c>
      <c r="D257" s="292">
        <v>40282.333333333336</v>
      </c>
      <c r="E257" s="290" t="s">
        <v>186</v>
      </c>
      <c r="F257" s="290" t="s">
        <v>192</v>
      </c>
      <c r="G257" s="290" t="s">
        <v>241</v>
      </c>
      <c r="H257" s="290" t="s">
        <v>181</v>
      </c>
      <c r="I257" s="290" t="s">
        <v>182</v>
      </c>
      <c r="J257" s="290" t="s">
        <v>183</v>
      </c>
      <c r="K257" s="290" t="s">
        <v>183</v>
      </c>
      <c r="L257" s="293">
        <v>0</v>
      </c>
      <c r="M257" s="293">
        <v>29.643999999999998</v>
      </c>
      <c r="N257" s="293">
        <v>38.479999999999997</v>
      </c>
      <c r="O257" s="290" t="s">
        <v>184</v>
      </c>
      <c r="P257" s="293">
        <v>3.74</v>
      </c>
      <c r="Q257" s="294">
        <v>27.75</v>
      </c>
      <c r="R257" s="294">
        <v>5.62</v>
      </c>
      <c r="S257" s="294">
        <v>0</v>
      </c>
      <c r="T257" s="294">
        <v>0</v>
      </c>
      <c r="U257" s="294">
        <v>33.369999999999997</v>
      </c>
    </row>
    <row r="258" spans="1:21" hidden="1" x14ac:dyDescent="0.25">
      <c r="A258" s="291">
        <v>654516</v>
      </c>
      <c r="B258" s="290" t="s">
        <v>185</v>
      </c>
      <c r="C258" s="292">
        <v>40274</v>
      </c>
      <c r="D258" s="292">
        <v>40274.333333333336</v>
      </c>
      <c r="E258" s="290" t="s">
        <v>186</v>
      </c>
      <c r="F258" s="290" t="s">
        <v>192</v>
      </c>
      <c r="G258" s="290" t="s">
        <v>241</v>
      </c>
      <c r="H258" s="290" t="s">
        <v>181</v>
      </c>
      <c r="I258" s="290" t="s">
        <v>182</v>
      </c>
      <c r="J258" s="290" t="s">
        <v>183</v>
      </c>
      <c r="K258" s="290" t="s">
        <v>183</v>
      </c>
      <c r="L258" s="293">
        <v>0</v>
      </c>
      <c r="M258" s="293">
        <v>0</v>
      </c>
      <c r="N258" s="293">
        <v>28.173999999999999</v>
      </c>
      <c r="O258" s="290" t="s">
        <v>184</v>
      </c>
      <c r="P258" s="293">
        <v>17.52</v>
      </c>
      <c r="Q258" s="294">
        <v>352.27</v>
      </c>
      <c r="R258" s="294">
        <v>71.36</v>
      </c>
      <c r="S258" s="294">
        <v>0</v>
      </c>
      <c r="T258" s="294">
        <v>0</v>
      </c>
      <c r="U258" s="294">
        <v>423.63</v>
      </c>
    </row>
    <row r="259" spans="1:21" hidden="1" x14ac:dyDescent="0.25">
      <c r="A259" s="291">
        <v>654516</v>
      </c>
      <c r="B259" s="290" t="s">
        <v>185</v>
      </c>
      <c r="C259" s="292">
        <v>40274</v>
      </c>
      <c r="D259" s="292">
        <v>40274.333333333336</v>
      </c>
      <c r="E259" s="290" t="s">
        <v>186</v>
      </c>
      <c r="F259" s="290" t="s">
        <v>192</v>
      </c>
      <c r="G259" s="290" t="s">
        <v>241</v>
      </c>
      <c r="H259" s="290" t="s">
        <v>181</v>
      </c>
      <c r="I259" s="290" t="s">
        <v>182</v>
      </c>
      <c r="J259" s="290" t="s">
        <v>183</v>
      </c>
      <c r="K259" s="290" t="s">
        <v>183</v>
      </c>
      <c r="L259" s="293">
        <v>0</v>
      </c>
      <c r="M259" s="293">
        <v>29.643999999999998</v>
      </c>
      <c r="N259" s="293">
        <v>38.479999999999997</v>
      </c>
      <c r="O259" s="290" t="s">
        <v>184</v>
      </c>
      <c r="P259" s="293">
        <v>5.52</v>
      </c>
      <c r="Q259" s="294">
        <v>110.99</v>
      </c>
      <c r="R259" s="294">
        <v>22.48</v>
      </c>
      <c r="S259" s="294">
        <v>0</v>
      </c>
      <c r="T259" s="294">
        <v>0</v>
      </c>
      <c r="U259" s="294">
        <v>133.47</v>
      </c>
    </row>
    <row r="260" spans="1:21" hidden="1" x14ac:dyDescent="0.25">
      <c r="A260" s="291">
        <v>651807</v>
      </c>
      <c r="B260" s="290" t="s">
        <v>185</v>
      </c>
      <c r="C260" s="292">
        <v>40263</v>
      </c>
      <c r="D260" s="292">
        <v>40263.333333333336</v>
      </c>
      <c r="E260" s="290" t="s">
        <v>186</v>
      </c>
      <c r="F260" s="290" t="s">
        <v>192</v>
      </c>
      <c r="G260" s="290" t="s">
        <v>241</v>
      </c>
      <c r="H260" s="290" t="s">
        <v>181</v>
      </c>
      <c r="I260" s="290" t="s">
        <v>182</v>
      </c>
      <c r="J260" s="290" t="s">
        <v>183</v>
      </c>
      <c r="K260" s="290" t="s">
        <v>183</v>
      </c>
      <c r="L260" s="293">
        <v>0</v>
      </c>
      <c r="M260" s="293">
        <v>0</v>
      </c>
      <c r="N260" s="293">
        <v>28.173999999999999</v>
      </c>
      <c r="O260" s="290" t="s">
        <v>184</v>
      </c>
      <c r="P260" s="293">
        <v>8.76</v>
      </c>
      <c r="Q260" s="294">
        <v>88.07</v>
      </c>
      <c r="R260" s="294">
        <v>17.84</v>
      </c>
      <c r="S260" s="294">
        <v>0</v>
      </c>
      <c r="T260" s="294">
        <v>0</v>
      </c>
      <c r="U260" s="294">
        <v>105.91</v>
      </c>
    </row>
    <row r="261" spans="1:21" hidden="1" x14ac:dyDescent="0.25">
      <c r="A261" s="291">
        <v>651807</v>
      </c>
      <c r="B261" s="290" t="s">
        <v>185</v>
      </c>
      <c r="C261" s="292">
        <v>40263</v>
      </c>
      <c r="D261" s="292">
        <v>40263.333333333336</v>
      </c>
      <c r="E261" s="290" t="s">
        <v>186</v>
      </c>
      <c r="F261" s="290" t="s">
        <v>192</v>
      </c>
      <c r="G261" s="290" t="s">
        <v>241</v>
      </c>
      <c r="H261" s="290" t="s">
        <v>181</v>
      </c>
      <c r="I261" s="290" t="s">
        <v>182</v>
      </c>
      <c r="J261" s="290" t="s">
        <v>183</v>
      </c>
      <c r="K261" s="290" t="s">
        <v>183</v>
      </c>
      <c r="L261" s="293">
        <v>0</v>
      </c>
      <c r="M261" s="293">
        <v>29.643999999999998</v>
      </c>
      <c r="N261" s="293">
        <v>38.479999999999997</v>
      </c>
      <c r="O261" s="290" t="s">
        <v>184</v>
      </c>
      <c r="P261" s="293">
        <v>2.76</v>
      </c>
      <c r="Q261" s="294">
        <v>27.75</v>
      </c>
      <c r="R261" s="294">
        <v>5.62</v>
      </c>
      <c r="S261" s="294">
        <v>0</v>
      </c>
      <c r="T261" s="294">
        <v>0</v>
      </c>
      <c r="U261" s="294">
        <v>33.369999999999997</v>
      </c>
    </row>
    <row r="262" spans="1:21" hidden="1" x14ac:dyDescent="0.25">
      <c r="A262" s="291">
        <v>647992</v>
      </c>
      <c r="B262" s="290" t="s">
        <v>185</v>
      </c>
      <c r="C262" s="292">
        <v>40253</v>
      </c>
      <c r="D262" s="292">
        <v>40253.333333333336</v>
      </c>
      <c r="E262" s="290" t="s">
        <v>186</v>
      </c>
      <c r="F262" s="290" t="s">
        <v>187</v>
      </c>
      <c r="G262" s="290" t="s">
        <v>241</v>
      </c>
      <c r="H262" s="290" t="s">
        <v>181</v>
      </c>
      <c r="I262" s="290" t="s">
        <v>182</v>
      </c>
      <c r="J262" s="290" t="s">
        <v>183</v>
      </c>
      <c r="K262" s="290" t="s">
        <v>183</v>
      </c>
      <c r="L262" s="293">
        <v>0</v>
      </c>
      <c r="M262" s="293">
        <v>0</v>
      </c>
      <c r="N262" s="293">
        <v>28.173999999999999</v>
      </c>
      <c r="O262" s="290" t="s">
        <v>184</v>
      </c>
      <c r="P262" s="293">
        <v>1.46</v>
      </c>
      <c r="Q262" s="294">
        <v>44.03</v>
      </c>
      <c r="R262" s="294">
        <v>8.92</v>
      </c>
      <c r="S262" s="294">
        <v>0</v>
      </c>
      <c r="T262" s="294">
        <v>0</v>
      </c>
      <c r="U262" s="294">
        <v>52.95</v>
      </c>
    </row>
    <row r="263" spans="1:21" hidden="1" x14ac:dyDescent="0.25">
      <c r="A263" s="291">
        <v>647992</v>
      </c>
      <c r="B263" s="290" t="s">
        <v>185</v>
      </c>
      <c r="C263" s="292">
        <v>40253</v>
      </c>
      <c r="D263" s="292">
        <v>40253.333333333336</v>
      </c>
      <c r="E263" s="290" t="s">
        <v>186</v>
      </c>
      <c r="F263" s="290" t="s">
        <v>187</v>
      </c>
      <c r="G263" s="290" t="s">
        <v>241</v>
      </c>
      <c r="H263" s="290" t="s">
        <v>181</v>
      </c>
      <c r="I263" s="290" t="s">
        <v>182</v>
      </c>
      <c r="J263" s="290" t="s">
        <v>183</v>
      </c>
      <c r="K263" s="290" t="s">
        <v>183</v>
      </c>
      <c r="L263" s="293">
        <v>0</v>
      </c>
      <c r="M263" s="293">
        <v>29.643999999999998</v>
      </c>
      <c r="N263" s="293">
        <v>38.479999999999997</v>
      </c>
      <c r="O263" s="290" t="s">
        <v>184</v>
      </c>
      <c r="P263" s="293">
        <v>0.46</v>
      </c>
      <c r="Q263" s="294">
        <v>13.87</v>
      </c>
      <c r="R263" s="294">
        <v>2.81</v>
      </c>
      <c r="S263" s="294">
        <v>0</v>
      </c>
      <c r="T263" s="294">
        <v>0</v>
      </c>
      <c r="U263" s="294">
        <v>16.68</v>
      </c>
    </row>
    <row r="264" spans="1:21" hidden="1" x14ac:dyDescent="0.25">
      <c r="A264" s="291">
        <v>645499</v>
      </c>
      <c r="B264" s="290" t="s">
        <v>185</v>
      </c>
      <c r="C264" s="292">
        <v>40246</v>
      </c>
      <c r="D264" s="292">
        <v>40246.333333333336</v>
      </c>
      <c r="E264" s="290" t="s">
        <v>186</v>
      </c>
      <c r="F264" s="290" t="s">
        <v>192</v>
      </c>
      <c r="G264" s="290" t="s">
        <v>241</v>
      </c>
      <c r="H264" s="290" t="s">
        <v>181</v>
      </c>
      <c r="I264" s="290" t="s">
        <v>182</v>
      </c>
      <c r="J264" s="290" t="s">
        <v>183</v>
      </c>
      <c r="K264" s="290" t="s">
        <v>183</v>
      </c>
      <c r="L264" s="293">
        <v>0</v>
      </c>
      <c r="M264" s="293">
        <v>0</v>
      </c>
      <c r="N264" s="293">
        <v>28.173999999999999</v>
      </c>
      <c r="O264" s="290" t="s">
        <v>184</v>
      </c>
      <c r="P264" s="293">
        <v>3.65</v>
      </c>
      <c r="Q264" s="294">
        <v>44.03</v>
      </c>
      <c r="R264" s="294">
        <v>8.92</v>
      </c>
      <c r="S264" s="294">
        <v>0</v>
      </c>
      <c r="T264" s="294">
        <v>0</v>
      </c>
      <c r="U264" s="294">
        <v>52.95</v>
      </c>
    </row>
    <row r="265" spans="1:21" hidden="1" x14ac:dyDescent="0.25">
      <c r="A265" s="291">
        <v>645499</v>
      </c>
      <c r="B265" s="290" t="s">
        <v>185</v>
      </c>
      <c r="C265" s="292">
        <v>40246</v>
      </c>
      <c r="D265" s="292">
        <v>40246.333333333336</v>
      </c>
      <c r="E265" s="290" t="s">
        <v>186</v>
      </c>
      <c r="F265" s="290" t="s">
        <v>192</v>
      </c>
      <c r="G265" s="290" t="s">
        <v>241</v>
      </c>
      <c r="H265" s="290" t="s">
        <v>181</v>
      </c>
      <c r="I265" s="290" t="s">
        <v>182</v>
      </c>
      <c r="J265" s="290" t="s">
        <v>183</v>
      </c>
      <c r="K265" s="290" t="s">
        <v>183</v>
      </c>
      <c r="L265" s="293">
        <v>0</v>
      </c>
      <c r="M265" s="293">
        <v>29.643999999999998</v>
      </c>
      <c r="N265" s="293">
        <v>38.479999999999997</v>
      </c>
      <c r="O265" s="290" t="s">
        <v>184</v>
      </c>
      <c r="P265" s="293">
        <v>1.1499999999999999</v>
      </c>
      <c r="Q265" s="294">
        <v>13.87</v>
      </c>
      <c r="R265" s="294">
        <v>2.81</v>
      </c>
      <c r="S265" s="294">
        <v>0</v>
      </c>
      <c r="T265" s="294">
        <v>0</v>
      </c>
      <c r="U265" s="294">
        <v>16.68</v>
      </c>
    </row>
    <row r="266" spans="1:21" hidden="1" x14ac:dyDescent="0.25">
      <c r="A266" s="291">
        <v>645498</v>
      </c>
      <c r="B266" s="290" t="s">
        <v>185</v>
      </c>
      <c r="C266" s="292">
        <v>40246</v>
      </c>
      <c r="D266" s="292">
        <v>40246.333333333336</v>
      </c>
      <c r="E266" s="290" t="s">
        <v>186</v>
      </c>
      <c r="F266" s="290" t="s">
        <v>192</v>
      </c>
      <c r="G266" s="290" t="s">
        <v>241</v>
      </c>
      <c r="H266" s="290" t="s">
        <v>181</v>
      </c>
      <c r="I266" s="290" t="s">
        <v>182</v>
      </c>
      <c r="J266" s="290" t="s">
        <v>183</v>
      </c>
      <c r="K266" s="290" t="s">
        <v>183</v>
      </c>
      <c r="L266" s="293">
        <v>0</v>
      </c>
      <c r="M266" s="293">
        <v>0</v>
      </c>
      <c r="N266" s="293">
        <v>28.173999999999999</v>
      </c>
      <c r="O266" s="290" t="s">
        <v>184</v>
      </c>
      <c r="P266" s="293">
        <v>11.68</v>
      </c>
      <c r="Q266" s="294">
        <v>88.07</v>
      </c>
      <c r="R266" s="294">
        <v>17.84</v>
      </c>
      <c r="S266" s="294">
        <v>0</v>
      </c>
      <c r="T266" s="294">
        <v>0</v>
      </c>
      <c r="U266" s="294">
        <v>105.91</v>
      </c>
    </row>
    <row r="267" spans="1:21" hidden="1" x14ac:dyDescent="0.25">
      <c r="A267" s="291">
        <v>645498</v>
      </c>
      <c r="B267" s="290" t="s">
        <v>185</v>
      </c>
      <c r="C267" s="292">
        <v>40246</v>
      </c>
      <c r="D267" s="292">
        <v>40246.333333333336</v>
      </c>
      <c r="E267" s="290" t="s">
        <v>186</v>
      </c>
      <c r="F267" s="290" t="s">
        <v>192</v>
      </c>
      <c r="G267" s="290" t="s">
        <v>241</v>
      </c>
      <c r="H267" s="290" t="s">
        <v>181</v>
      </c>
      <c r="I267" s="290" t="s">
        <v>182</v>
      </c>
      <c r="J267" s="290" t="s">
        <v>183</v>
      </c>
      <c r="K267" s="290" t="s">
        <v>183</v>
      </c>
      <c r="L267" s="293">
        <v>0</v>
      </c>
      <c r="M267" s="293">
        <v>29.643999999999998</v>
      </c>
      <c r="N267" s="293">
        <v>38.479999999999997</v>
      </c>
      <c r="O267" s="290" t="s">
        <v>184</v>
      </c>
      <c r="P267" s="293">
        <v>3.68</v>
      </c>
      <c r="Q267" s="294">
        <v>27.75</v>
      </c>
      <c r="R267" s="294">
        <v>5.62</v>
      </c>
      <c r="S267" s="294">
        <v>0</v>
      </c>
      <c r="T267" s="294">
        <v>0</v>
      </c>
      <c r="U267" s="294">
        <v>33.369999999999997</v>
      </c>
    </row>
    <row r="268" spans="1:21" hidden="1" x14ac:dyDescent="0.25">
      <c r="A268" s="291">
        <v>642279</v>
      </c>
      <c r="B268" s="290" t="s">
        <v>185</v>
      </c>
      <c r="C268" s="292">
        <v>40233</v>
      </c>
      <c r="D268" s="292">
        <v>40233.333333333336</v>
      </c>
      <c r="E268" s="290" t="s">
        <v>186</v>
      </c>
      <c r="F268" s="290" t="s">
        <v>187</v>
      </c>
      <c r="G268" s="290" t="s">
        <v>241</v>
      </c>
      <c r="H268" s="290" t="s">
        <v>181</v>
      </c>
      <c r="I268" s="290" t="s">
        <v>182</v>
      </c>
      <c r="J268" s="290" t="s">
        <v>183</v>
      </c>
      <c r="K268" s="290" t="s">
        <v>183</v>
      </c>
      <c r="L268" s="293">
        <v>0</v>
      </c>
      <c r="M268" s="293">
        <v>0</v>
      </c>
      <c r="N268" s="293">
        <v>28.173999999999999</v>
      </c>
      <c r="O268" s="290" t="s">
        <v>184</v>
      </c>
      <c r="P268" s="293">
        <v>1.46</v>
      </c>
      <c r="Q268" s="294">
        <v>44.03</v>
      </c>
      <c r="R268" s="294">
        <v>17.84</v>
      </c>
      <c r="S268" s="294">
        <v>0</v>
      </c>
      <c r="T268" s="294">
        <v>0</v>
      </c>
      <c r="U268" s="294">
        <v>61.87</v>
      </c>
    </row>
    <row r="269" spans="1:21" hidden="1" x14ac:dyDescent="0.25">
      <c r="A269" s="291">
        <v>642279</v>
      </c>
      <c r="B269" s="290" t="s">
        <v>185</v>
      </c>
      <c r="C269" s="292">
        <v>40233</v>
      </c>
      <c r="D269" s="292">
        <v>40233.333333333336</v>
      </c>
      <c r="E269" s="290" t="s">
        <v>186</v>
      </c>
      <c r="F269" s="290" t="s">
        <v>187</v>
      </c>
      <c r="G269" s="290" t="s">
        <v>241</v>
      </c>
      <c r="H269" s="290" t="s">
        <v>181</v>
      </c>
      <c r="I269" s="290" t="s">
        <v>182</v>
      </c>
      <c r="J269" s="290" t="s">
        <v>183</v>
      </c>
      <c r="K269" s="290" t="s">
        <v>183</v>
      </c>
      <c r="L269" s="293">
        <v>0</v>
      </c>
      <c r="M269" s="293">
        <v>29.643999999999998</v>
      </c>
      <c r="N269" s="293">
        <v>38.479999999999997</v>
      </c>
      <c r="O269" s="290" t="s">
        <v>184</v>
      </c>
      <c r="P269" s="293">
        <v>0.46</v>
      </c>
      <c r="Q269" s="294">
        <v>13.87</v>
      </c>
      <c r="R269" s="294">
        <v>5.62</v>
      </c>
      <c r="S269" s="294">
        <v>0</v>
      </c>
      <c r="T269" s="294">
        <v>0</v>
      </c>
      <c r="U269" s="294">
        <v>19.489999999999998</v>
      </c>
    </row>
    <row r="270" spans="1:21" hidden="1" x14ac:dyDescent="0.25">
      <c r="A270" s="291">
        <v>634444</v>
      </c>
      <c r="B270" s="290" t="s">
        <v>177</v>
      </c>
      <c r="C270" s="292">
        <v>40204</v>
      </c>
      <c r="D270" s="292">
        <v>40204.333333333336</v>
      </c>
      <c r="E270" s="290" t="s">
        <v>190</v>
      </c>
      <c r="F270" s="290" t="s">
        <v>203</v>
      </c>
      <c r="G270" s="290" t="s">
        <v>241</v>
      </c>
      <c r="H270" s="290" t="s">
        <v>181</v>
      </c>
      <c r="I270" s="290" t="s">
        <v>182</v>
      </c>
      <c r="J270" s="290" t="s">
        <v>183</v>
      </c>
      <c r="K270" s="290" t="s">
        <v>183</v>
      </c>
      <c r="L270" s="293">
        <v>0</v>
      </c>
      <c r="M270" s="293">
        <v>0</v>
      </c>
      <c r="N270" s="293">
        <v>28.173999999999999</v>
      </c>
      <c r="O270" s="290" t="s">
        <v>184</v>
      </c>
      <c r="P270" s="293">
        <v>0</v>
      </c>
      <c r="Q270" s="294">
        <v>0</v>
      </c>
      <c r="R270" s="294">
        <v>0</v>
      </c>
      <c r="S270" s="294">
        <v>0</v>
      </c>
      <c r="T270" s="294">
        <v>0</v>
      </c>
      <c r="U270" s="294">
        <v>0</v>
      </c>
    </row>
    <row r="271" spans="1:21" hidden="1" x14ac:dyDescent="0.25">
      <c r="A271" s="291">
        <v>634444</v>
      </c>
      <c r="B271" s="290" t="s">
        <v>177</v>
      </c>
      <c r="C271" s="292">
        <v>40204</v>
      </c>
      <c r="D271" s="292">
        <v>40204.333333333336</v>
      </c>
      <c r="E271" s="290" t="s">
        <v>190</v>
      </c>
      <c r="F271" s="290" t="s">
        <v>203</v>
      </c>
      <c r="G271" s="290" t="s">
        <v>241</v>
      </c>
      <c r="H271" s="290" t="s">
        <v>181</v>
      </c>
      <c r="I271" s="290" t="s">
        <v>182</v>
      </c>
      <c r="J271" s="290" t="s">
        <v>183</v>
      </c>
      <c r="K271" s="290" t="s">
        <v>183</v>
      </c>
      <c r="L271" s="293">
        <v>0</v>
      </c>
      <c r="M271" s="293">
        <v>29.643999999999998</v>
      </c>
      <c r="N271" s="293">
        <v>38.479999999999997</v>
      </c>
      <c r="O271" s="290" t="s">
        <v>184</v>
      </c>
      <c r="P271" s="293">
        <v>0</v>
      </c>
      <c r="Q271" s="294">
        <v>0</v>
      </c>
      <c r="R271" s="294">
        <v>0</v>
      </c>
      <c r="S271" s="294">
        <v>0</v>
      </c>
      <c r="T271" s="294">
        <v>0</v>
      </c>
      <c r="U271" s="294">
        <v>0</v>
      </c>
    </row>
    <row r="272" spans="1:21" hidden="1" x14ac:dyDescent="0.25">
      <c r="A272" s="291">
        <v>634444</v>
      </c>
      <c r="B272" s="290" t="s">
        <v>177</v>
      </c>
      <c r="C272" s="292">
        <v>40204</v>
      </c>
      <c r="D272" s="292">
        <v>40204.333333333336</v>
      </c>
      <c r="E272" s="290" t="s">
        <v>190</v>
      </c>
      <c r="F272" s="290" t="s">
        <v>203</v>
      </c>
      <c r="G272" s="290" t="s">
        <v>242</v>
      </c>
      <c r="H272" s="290" t="s">
        <v>181</v>
      </c>
      <c r="I272" s="290" t="s">
        <v>194</v>
      </c>
      <c r="J272" s="290" t="s">
        <v>183</v>
      </c>
      <c r="K272" s="290" t="s">
        <v>183</v>
      </c>
      <c r="L272" s="293">
        <v>0</v>
      </c>
      <c r="M272" s="293">
        <v>0</v>
      </c>
      <c r="N272" s="293">
        <v>3.4409999999999998</v>
      </c>
      <c r="O272" s="290" t="s">
        <v>184</v>
      </c>
      <c r="P272" s="293">
        <v>0</v>
      </c>
      <c r="Q272" s="294">
        <v>0</v>
      </c>
      <c r="R272" s="294">
        <v>0</v>
      </c>
      <c r="S272" s="294">
        <v>0</v>
      </c>
      <c r="T272" s="294">
        <v>0</v>
      </c>
      <c r="U272" s="294">
        <v>0</v>
      </c>
    </row>
    <row r="273" spans="1:21" hidden="1" x14ac:dyDescent="0.25">
      <c r="A273" s="291">
        <v>620192</v>
      </c>
      <c r="B273" s="290" t="s">
        <v>185</v>
      </c>
      <c r="C273" s="292">
        <v>40141</v>
      </c>
      <c r="D273" s="292">
        <v>40141.333333333336</v>
      </c>
      <c r="E273" s="290" t="s">
        <v>186</v>
      </c>
      <c r="F273" s="290" t="s">
        <v>192</v>
      </c>
      <c r="G273" s="290" t="s">
        <v>241</v>
      </c>
      <c r="H273" s="290" t="s">
        <v>181</v>
      </c>
      <c r="I273" s="290" t="s">
        <v>182</v>
      </c>
      <c r="J273" s="290" t="s">
        <v>183</v>
      </c>
      <c r="K273" s="290" t="s">
        <v>183</v>
      </c>
      <c r="L273" s="293">
        <v>0</v>
      </c>
      <c r="M273" s="293">
        <v>0</v>
      </c>
      <c r="N273" s="293">
        <v>28.173999999999999</v>
      </c>
      <c r="O273" s="290" t="s">
        <v>184</v>
      </c>
      <c r="P273" s="293">
        <v>11.68</v>
      </c>
      <c r="Q273" s="294">
        <v>88.8</v>
      </c>
      <c r="R273" s="294">
        <v>38.020000000000003</v>
      </c>
      <c r="S273" s="294">
        <v>0</v>
      </c>
      <c r="T273" s="294">
        <v>0</v>
      </c>
      <c r="U273" s="294">
        <v>126.82</v>
      </c>
    </row>
    <row r="274" spans="1:21" hidden="1" x14ac:dyDescent="0.25">
      <c r="A274" s="291">
        <v>620192</v>
      </c>
      <c r="B274" s="290" t="s">
        <v>185</v>
      </c>
      <c r="C274" s="292">
        <v>40141</v>
      </c>
      <c r="D274" s="292">
        <v>40141.333333333336</v>
      </c>
      <c r="E274" s="290" t="s">
        <v>186</v>
      </c>
      <c r="F274" s="290" t="s">
        <v>192</v>
      </c>
      <c r="G274" s="290" t="s">
        <v>241</v>
      </c>
      <c r="H274" s="290" t="s">
        <v>181</v>
      </c>
      <c r="I274" s="290" t="s">
        <v>182</v>
      </c>
      <c r="J274" s="290" t="s">
        <v>183</v>
      </c>
      <c r="K274" s="290" t="s">
        <v>183</v>
      </c>
      <c r="L274" s="293">
        <v>0</v>
      </c>
      <c r="M274" s="293">
        <v>29.643999999999998</v>
      </c>
      <c r="N274" s="293">
        <v>38.479999999999997</v>
      </c>
      <c r="O274" s="290" t="s">
        <v>184</v>
      </c>
      <c r="P274" s="293">
        <v>3.68</v>
      </c>
      <c r="Q274" s="294">
        <v>27.98</v>
      </c>
      <c r="R274" s="294">
        <v>11.98</v>
      </c>
      <c r="S274" s="294">
        <v>0</v>
      </c>
      <c r="T274" s="294">
        <v>0</v>
      </c>
      <c r="U274" s="294">
        <v>39.96</v>
      </c>
    </row>
    <row r="275" spans="1:21" hidden="1" x14ac:dyDescent="0.25">
      <c r="A275" s="291">
        <v>615885</v>
      </c>
      <c r="B275" s="290" t="s">
        <v>185</v>
      </c>
      <c r="C275" s="292">
        <v>40121</v>
      </c>
      <c r="D275" s="292">
        <v>40121.333333333336</v>
      </c>
      <c r="E275" s="290" t="s">
        <v>186</v>
      </c>
      <c r="F275" s="290" t="s">
        <v>216</v>
      </c>
      <c r="G275" s="290" t="s">
        <v>241</v>
      </c>
      <c r="H275" s="290" t="s">
        <v>181</v>
      </c>
      <c r="I275" s="290" t="s">
        <v>182</v>
      </c>
      <c r="J275" s="290" t="s">
        <v>183</v>
      </c>
      <c r="K275" s="290" t="s">
        <v>183</v>
      </c>
      <c r="L275" s="293">
        <v>0</v>
      </c>
      <c r="M275" s="293">
        <v>0</v>
      </c>
      <c r="N275" s="293">
        <v>28.173999999999999</v>
      </c>
      <c r="O275" s="290" t="s">
        <v>184</v>
      </c>
      <c r="P275" s="293">
        <v>2984.24</v>
      </c>
      <c r="Q275" s="294">
        <v>119.02</v>
      </c>
      <c r="R275" s="294">
        <v>63.04</v>
      </c>
      <c r="S275" s="294">
        <v>0</v>
      </c>
      <c r="T275" s="294">
        <v>0</v>
      </c>
      <c r="U275" s="294">
        <v>182.05</v>
      </c>
    </row>
    <row r="276" spans="1:21" hidden="1" x14ac:dyDescent="0.25">
      <c r="A276" s="291">
        <v>615885</v>
      </c>
      <c r="B276" s="290" t="s">
        <v>185</v>
      </c>
      <c r="C276" s="292">
        <v>40121</v>
      </c>
      <c r="D276" s="292">
        <v>40121.333333333336</v>
      </c>
      <c r="E276" s="290" t="s">
        <v>186</v>
      </c>
      <c r="F276" s="290" t="s">
        <v>216</v>
      </c>
      <c r="G276" s="290" t="s">
        <v>241</v>
      </c>
      <c r="H276" s="290" t="s">
        <v>181</v>
      </c>
      <c r="I276" s="290" t="s">
        <v>182</v>
      </c>
      <c r="J276" s="290" t="s">
        <v>183</v>
      </c>
      <c r="K276" s="290" t="s">
        <v>183</v>
      </c>
      <c r="L276" s="293">
        <v>0</v>
      </c>
      <c r="M276" s="293">
        <v>29.643999999999998</v>
      </c>
      <c r="N276" s="293">
        <v>38.479999999999997</v>
      </c>
      <c r="O276" s="290" t="s">
        <v>184</v>
      </c>
      <c r="P276" s="293">
        <v>940.24</v>
      </c>
      <c r="Q276" s="294">
        <v>37.5</v>
      </c>
      <c r="R276" s="294">
        <v>19.86</v>
      </c>
      <c r="S276" s="294">
        <v>0</v>
      </c>
      <c r="T276" s="294">
        <v>0</v>
      </c>
      <c r="U276" s="294">
        <v>57.36</v>
      </c>
    </row>
    <row r="277" spans="1:21" hidden="1" x14ac:dyDescent="0.25">
      <c r="A277" s="291">
        <v>611005</v>
      </c>
      <c r="B277" s="290" t="s">
        <v>177</v>
      </c>
      <c r="C277" s="292">
        <v>40105</v>
      </c>
      <c r="D277" s="292">
        <v>40178</v>
      </c>
      <c r="E277" s="290" t="s">
        <v>190</v>
      </c>
      <c r="F277" s="290" t="s">
        <v>244</v>
      </c>
      <c r="G277" s="290" t="s">
        <v>241</v>
      </c>
      <c r="H277" s="290" t="s">
        <v>181</v>
      </c>
      <c r="I277" s="290" t="s">
        <v>182</v>
      </c>
      <c r="J277" s="290" t="s">
        <v>183</v>
      </c>
      <c r="K277" s="290" t="s">
        <v>183</v>
      </c>
      <c r="L277" s="293">
        <v>0</v>
      </c>
      <c r="M277" s="293">
        <v>0</v>
      </c>
      <c r="N277" s="293">
        <v>28.173999999999999</v>
      </c>
      <c r="O277" s="290" t="s">
        <v>184</v>
      </c>
      <c r="P277" s="293">
        <v>3.29</v>
      </c>
      <c r="Q277" s="294">
        <v>4272.1499999999996</v>
      </c>
      <c r="R277" s="294">
        <v>874.95</v>
      </c>
      <c r="S277" s="294">
        <v>1286.49</v>
      </c>
      <c r="T277" s="294">
        <v>0</v>
      </c>
      <c r="U277" s="294">
        <v>6433.59</v>
      </c>
    </row>
    <row r="278" spans="1:21" hidden="1" x14ac:dyDescent="0.25">
      <c r="A278" s="291">
        <v>611005</v>
      </c>
      <c r="B278" s="290" t="s">
        <v>177</v>
      </c>
      <c r="C278" s="292">
        <v>40105</v>
      </c>
      <c r="D278" s="292">
        <v>40178</v>
      </c>
      <c r="E278" s="290" t="s">
        <v>190</v>
      </c>
      <c r="F278" s="290" t="s">
        <v>244</v>
      </c>
      <c r="G278" s="290" t="s">
        <v>241</v>
      </c>
      <c r="H278" s="290" t="s">
        <v>181</v>
      </c>
      <c r="I278" s="290" t="s">
        <v>182</v>
      </c>
      <c r="J278" s="290" t="s">
        <v>183</v>
      </c>
      <c r="K278" s="290" t="s">
        <v>183</v>
      </c>
      <c r="L278" s="293">
        <v>0</v>
      </c>
      <c r="M278" s="293">
        <v>29.643999999999998</v>
      </c>
      <c r="N278" s="293">
        <v>38.479999999999997</v>
      </c>
      <c r="O278" s="290" t="s">
        <v>184</v>
      </c>
      <c r="P278" s="293">
        <v>1.04</v>
      </c>
      <c r="Q278" s="294">
        <v>1346.02</v>
      </c>
      <c r="R278" s="294">
        <v>275.67</v>
      </c>
      <c r="S278" s="294">
        <v>405.33</v>
      </c>
      <c r="T278" s="294">
        <v>0</v>
      </c>
      <c r="U278" s="294">
        <v>2027.02</v>
      </c>
    </row>
    <row r="279" spans="1:21" hidden="1" x14ac:dyDescent="0.25">
      <c r="A279" s="291">
        <v>611004</v>
      </c>
      <c r="B279" s="290" t="s">
        <v>177</v>
      </c>
      <c r="C279" s="292">
        <v>40106</v>
      </c>
      <c r="D279" s="292">
        <v>40155.333333333336</v>
      </c>
      <c r="E279" s="290" t="s">
        <v>190</v>
      </c>
      <c r="F279" s="290" t="s">
        <v>245</v>
      </c>
      <c r="G279" s="290" t="s">
        <v>241</v>
      </c>
      <c r="H279" s="290" t="s">
        <v>181</v>
      </c>
      <c r="I279" s="290" t="s">
        <v>182</v>
      </c>
      <c r="J279" s="290" t="s">
        <v>183</v>
      </c>
      <c r="K279" s="290" t="s">
        <v>183</v>
      </c>
      <c r="L279" s="293">
        <v>0</v>
      </c>
      <c r="M279" s="293">
        <v>0</v>
      </c>
      <c r="N279" s="293">
        <v>28.173999999999999</v>
      </c>
      <c r="O279" s="290" t="s">
        <v>184</v>
      </c>
      <c r="P279" s="293">
        <v>3.47</v>
      </c>
      <c r="Q279" s="294">
        <v>6734.91</v>
      </c>
      <c r="R279" s="294">
        <v>2171.7199999999998</v>
      </c>
      <c r="S279" s="294">
        <v>0</v>
      </c>
      <c r="T279" s="294">
        <v>0</v>
      </c>
      <c r="U279" s="294">
        <v>8906.6299999999992</v>
      </c>
    </row>
    <row r="280" spans="1:21" hidden="1" x14ac:dyDescent="0.25">
      <c r="A280" s="291">
        <v>611004</v>
      </c>
      <c r="B280" s="290" t="s">
        <v>177</v>
      </c>
      <c r="C280" s="292">
        <v>40106</v>
      </c>
      <c r="D280" s="292">
        <v>40155.333333333336</v>
      </c>
      <c r="E280" s="290" t="s">
        <v>190</v>
      </c>
      <c r="F280" s="290" t="s">
        <v>245</v>
      </c>
      <c r="G280" s="290" t="s">
        <v>241</v>
      </c>
      <c r="H280" s="290" t="s">
        <v>181</v>
      </c>
      <c r="I280" s="290" t="s">
        <v>182</v>
      </c>
      <c r="J280" s="290" t="s">
        <v>183</v>
      </c>
      <c r="K280" s="290" t="s">
        <v>183</v>
      </c>
      <c r="L280" s="293">
        <v>0</v>
      </c>
      <c r="M280" s="293">
        <v>29.643999999999998</v>
      </c>
      <c r="N280" s="293">
        <v>38.479999999999997</v>
      </c>
      <c r="O280" s="290" t="s">
        <v>184</v>
      </c>
      <c r="P280" s="293">
        <v>1.0900000000000001</v>
      </c>
      <c r="Q280" s="294">
        <v>2121.96</v>
      </c>
      <c r="R280" s="294">
        <v>684.24</v>
      </c>
      <c r="S280" s="294">
        <v>0</v>
      </c>
      <c r="T280" s="294">
        <v>0</v>
      </c>
      <c r="U280" s="294">
        <v>2806.2</v>
      </c>
    </row>
    <row r="281" spans="1:21" hidden="1" x14ac:dyDescent="0.25">
      <c r="A281" s="291">
        <v>608413</v>
      </c>
      <c r="B281" s="290" t="s">
        <v>185</v>
      </c>
      <c r="C281" s="292">
        <v>40092</v>
      </c>
      <c r="D281" s="292">
        <v>40092.333333333336</v>
      </c>
      <c r="E281" s="290" t="s">
        <v>186</v>
      </c>
      <c r="F281" s="290" t="s">
        <v>192</v>
      </c>
      <c r="G281" s="290" t="s">
        <v>241</v>
      </c>
      <c r="H281" s="290" t="s">
        <v>181</v>
      </c>
      <c r="I281" s="290" t="s">
        <v>182</v>
      </c>
      <c r="J281" s="290" t="s">
        <v>183</v>
      </c>
      <c r="K281" s="290" t="s">
        <v>183</v>
      </c>
      <c r="L281" s="293">
        <v>0</v>
      </c>
      <c r="M281" s="293">
        <v>0.5</v>
      </c>
      <c r="N281" s="293">
        <v>0.5</v>
      </c>
      <c r="O281" s="290" t="s">
        <v>184</v>
      </c>
      <c r="P281" s="293">
        <v>3</v>
      </c>
      <c r="Q281" s="294">
        <v>63.64</v>
      </c>
      <c r="R281" s="294">
        <v>13.02</v>
      </c>
      <c r="S281" s="294">
        <v>0</v>
      </c>
      <c r="T281" s="294">
        <v>0</v>
      </c>
      <c r="U281" s="294">
        <v>76.66</v>
      </c>
    </row>
    <row r="282" spans="1:21" hidden="1" x14ac:dyDescent="0.25">
      <c r="A282" s="291">
        <v>608089</v>
      </c>
      <c r="B282" s="290" t="s">
        <v>185</v>
      </c>
      <c r="C282" s="292">
        <v>40091</v>
      </c>
      <c r="D282" s="292">
        <v>40091.333333333336</v>
      </c>
      <c r="E282" s="290" t="s">
        <v>186</v>
      </c>
      <c r="F282" s="290" t="s">
        <v>192</v>
      </c>
      <c r="G282" s="290" t="s">
        <v>241</v>
      </c>
      <c r="H282" s="290" t="s">
        <v>181</v>
      </c>
      <c r="I282" s="290" t="s">
        <v>182</v>
      </c>
      <c r="J282" s="290" t="s">
        <v>183</v>
      </c>
      <c r="K282" s="290" t="s">
        <v>183</v>
      </c>
      <c r="L282" s="293">
        <v>0</v>
      </c>
      <c r="M282" s="293">
        <v>0.5</v>
      </c>
      <c r="N282" s="293">
        <v>0.5</v>
      </c>
      <c r="O282" s="290" t="s">
        <v>184</v>
      </c>
      <c r="P282" s="293">
        <v>12</v>
      </c>
      <c r="Q282" s="294">
        <v>127.28</v>
      </c>
      <c r="R282" s="294">
        <v>26.04</v>
      </c>
      <c r="S282" s="294">
        <v>0</v>
      </c>
      <c r="T282" s="294">
        <v>0</v>
      </c>
      <c r="U282" s="294">
        <v>153.32</v>
      </c>
    </row>
    <row r="283" spans="1:21" hidden="1" x14ac:dyDescent="0.25">
      <c r="A283" s="291">
        <v>592371</v>
      </c>
      <c r="B283" s="290" t="s">
        <v>185</v>
      </c>
      <c r="C283" s="292">
        <v>40030</v>
      </c>
      <c r="D283" s="292">
        <v>40030.333333333336</v>
      </c>
      <c r="E283" s="290" t="s">
        <v>186</v>
      </c>
      <c r="F283" s="290" t="s">
        <v>192</v>
      </c>
      <c r="G283" s="290" t="s">
        <v>241</v>
      </c>
      <c r="H283" s="290" t="s">
        <v>181</v>
      </c>
      <c r="I283" s="290" t="s">
        <v>182</v>
      </c>
      <c r="J283" s="290" t="s">
        <v>183</v>
      </c>
      <c r="K283" s="290" t="s">
        <v>183</v>
      </c>
      <c r="L283" s="293">
        <v>0</v>
      </c>
      <c r="M283" s="293">
        <v>5</v>
      </c>
      <c r="N283" s="293">
        <v>5</v>
      </c>
      <c r="O283" s="290" t="s">
        <v>184</v>
      </c>
      <c r="P283" s="293">
        <v>17</v>
      </c>
      <c r="Q283" s="294">
        <v>190.92</v>
      </c>
      <c r="R283" s="294">
        <v>40.35</v>
      </c>
      <c r="S283" s="294">
        <v>0</v>
      </c>
      <c r="T283" s="294">
        <v>0</v>
      </c>
      <c r="U283" s="294">
        <v>231.27</v>
      </c>
    </row>
    <row r="284" spans="1:21" hidden="1" x14ac:dyDescent="0.25">
      <c r="A284" s="291">
        <v>592340</v>
      </c>
      <c r="B284" s="290" t="s">
        <v>177</v>
      </c>
      <c r="C284" s="292">
        <v>40028</v>
      </c>
      <c r="D284" s="292">
        <v>40028.333333333336</v>
      </c>
      <c r="E284" s="290" t="s">
        <v>190</v>
      </c>
      <c r="F284" s="290" t="s">
        <v>218</v>
      </c>
      <c r="G284" s="290" t="s">
        <v>242</v>
      </c>
      <c r="H284" s="290" t="s">
        <v>181</v>
      </c>
      <c r="I284" s="290" t="s">
        <v>194</v>
      </c>
      <c r="J284" s="290" t="s">
        <v>183</v>
      </c>
      <c r="K284" s="290" t="s">
        <v>183</v>
      </c>
      <c r="L284" s="293">
        <v>0</v>
      </c>
      <c r="M284" s="293">
        <v>0.8</v>
      </c>
      <c r="N284" s="293">
        <v>0.8</v>
      </c>
      <c r="O284" s="290" t="s">
        <v>184</v>
      </c>
      <c r="P284" s="293">
        <v>30</v>
      </c>
      <c r="Q284" s="294">
        <v>718.48</v>
      </c>
      <c r="R284" s="294">
        <v>247.68</v>
      </c>
      <c r="S284" s="294">
        <v>0</v>
      </c>
      <c r="T284" s="294">
        <v>0</v>
      </c>
      <c r="U284" s="294">
        <v>966.16</v>
      </c>
    </row>
    <row r="285" spans="1:21" hidden="1" x14ac:dyDescent="0.25">
      <c r="A285" s="291">
        <v>591135</v>
      </c>
      <c r="B285" s="290" t="s">
        <v>185</v>
      </c>
      <c r="C285" s="292">
        <v>40024</v>
      </c>
      <c r="D285" s="292">
        <v>40024.333333333336</v>
      </c>
      <c r="E285" s="290" t="s">
        <v>225</v>
      </c>
      <c r="F285" s="290" t="s">
        <v>192</v>
      </c>
      <c r="G285" s="290" t="s">
        <v>241</v>
      </c>
      <c r="H285" s="290" t="s">
        <v>197</v>
      </c>
      <c r="I285" s="290" t="s">
        <v>182</v>
      </c>
      <c r="J285" s="290" t="s">
        <v>183</v>
      </c>
      <c r="K285" s="290" t="s">
        <v>183</v>
      </c>
      <c r="L285" s="293">
        <v>0</v>
      </c>
      <c r="M285" s="293">
        <v>0</v>
      </c>
      <c r="N285" s="293">
        <v>28.173999999999999</v>
      </c>
      <c r="O285" s="290" t="s">
        <v>184</v>
      </c>
      <c r="P285" s="293">
        <v>4.5599999999999996</v>
      </c>
      <c r="Q285" s="294">
        <v>47.13</v>
      </c>
      <c r="R285" s="294">
        <v>19.010000000000002</v>
      </c>
      <c r="S285" s="294">
        <v>0</v>
      </c>
      <c r="T285" s="294">
        <v>0</v>
      </c>
      <c r="U285" s="294">
        <v>66.14</v>
      </c>
    </row>
    <row r="286" spans="1:21" hidden="1" x14ac:dyDescent="0.25">
      <c r="A286" s="291">
        <v>591135</v>
      </c>
      <c r="B286" s="290" t="s">
        <v>185</v>
      </c>
      <c r="C286" s="292">
        <v>40024</v>
      </c>
      <c r="D286" s="292">
        <v>40024.333333333336</v>
      </c>
      <c r="E286" s="290" t="s">
        <v>225</v>
      </c>
      <c r="F286" s="290" t="s">
        <v>192</v>
      </c>
      <c r="G286" s="290" t="s">
        <v>241</v>
      </c>
      <c r="H286" s="290" t="s">
        <v>197</v>
      </c>
      <c r="I286" s="290" t="s">
        <v>182</v>
      </c>
      <c r="J286" s="290" t="s">
        <v>183</v>
      </c>
      <c r="K286" s="290" t="s">
        <v>183</v>
      </c>
      <c r="L286" s="293">
        <v>0</v>
      </c>
      <c r="M286" s="293">
        <v>29.643999999999998</v>
      </c>
      <c r="N286" s="293">
        <v>38.479999999999997</v>
      </c>
      <c r="O286" s="290" t="s">
        <v>184</v>
      </c>
      <c r="P286" s="293">
        <v>1.44</v>
      </c>
      <c r="Q286" s="294">
        <v>14.85</v>
      </c>
      <c r="R286" s="294">
        <v>5.99</v>
      </c>
      <c r="S286" s="294">
        <v>0</v>
      </c>
      <c r="T286" s="294">
        <v>0</v>
      </c>
      <c r="U286" s="294">
        <v>20.84</v>
      </c>
    </row>
    <row r="287" spans="1:21" hidden="1" x14ac:dyDescent="0.25">
      <c r="A287" s="291">
        <v>583516</v>
      </c>
      <c r="B287" s="290" t="s">
        <v>212</v>
      </c>
      <c r="C287" s="292">
        <v>40014</v>
      </c>
      <c r="D287" s="292">
        <v>40675</v>
      </c>
      <c r="E287" s="290" t="s">
        <v>240</v>
      </c>
      <c r="F287" s="290" t="s">
        <v>246</v>
      </c>
      <c r="G287" s="290" t="s">
        <v>241</v>
      </c>
      <c r="H287" s="290" t="s">
        <v>181</v>
      </c>
      <c r="I287" s="290" t="s">
        <v>182</v>
      </c>
      <c r="J287" s="290" t="s">
        <v>183</v>
      </c>
      <c r="K287" s="290" t="s">
        <v>183</v>
      </c>
      <c r="L287" s="293">
        <v>0</v>
      </c>
      <c r="M287" s="293">
        <v>0</v>
      </c>
      <c r="N287" s="293">
        <v>28.173999999999999</v>
      </c>
      <c r="O287" s="290" t="s">
        <v>184</v>
      </c>
      <c r="P287" s="293">
        <v>6497</v>
      </c>
      <c r="Q287" s="294">
        <v>1800.5</v>
      </c>
      <c r="R287" s="294">
        <v>312.27999999999997</v>
      </c>
      <c r="S287" s="294">
        <v>5.19</v>
      </c>
      <c r="T287" s="294">
        <v>0</v>
      </c>
      <c r="U287" s="294">
        <v>2117.9699999999998</v>
      </c>
    </row>
    <row r="288" spans="1:21" hidden="1" x14ac:dyDescent="0.25">
      <c r="A288" s="291">
        <v>583516</v>
      </c>
      <c r="B288" s="290" t="s">
        <v>212</v>
      </c>
      <c r="C288" s="292">
        <v>40014</v>
      </c>
      <c r="D288" s="292">
        <v>40675</v>
      </c>
      <c r="E288" s="290" t="s">
        <v>240</v>
      </c>
      <c r="F288" s="290" t="s">
        <v>246</v>
      </c>
      <c r="G288" s="290" t="s">
        <v>241</v>
      </c>
      <c r="H288" s="290" t="s">
        <v>181</v>
      </c>
      <c r="I288" s="290" t="s">
        <v>182</v>
      </c>
      <c r="J288" s="290" t="s">
        <v>183</v>
      </c>
      <c r="K288" s="290" t="s">
        <v>183</v>
      </c>
      <c r="L288" s="293">
        <v>0</v>
      </c>
      <c r="M288" s="293">
        <v>29.643999999999998</v>
      </c>
      <c r="N288" s="293">
        <v>38.479999999999997</v>
      </c>
      <c r="O288" s="290" t="s">
        <v>184</v>
      </c>
      <c r="P288" s="293">
        <v>2047</v>
      </c>
      <c r="Q288" s="294">
        <v>567.28</v>
      </c>
      <c r="R288" s="294">
        <v>98.39</v>
      </c>
      <c r="S288" s="294">
        <v>1.64</v>
      </c>
      <c r="T288" s="294">
        <v>0</v>
      </c>
      <c r="U288" s="294">
        <v>667.31</v>
      </c>
    </row>
    <row r="289" spans="1:21" hidden="1" x14ac:dyDescent="0.25">
      <c r="A289" s="291">
        <v>582928</v>
      </c>
      <c r="B289" s="290" t="s">
        <v>212</v>
      </c>
      <c r="C289" s="292">
        <v>40094</v>
      </c>
      <c r="D289" s="292">
        <v>40094.333333333336</v>
      </c>
      <c r="E289" s="290" t="s">
        <v>240</v>
      </c>
      <c r="F289" s="290" t="s">
        <v>246</v>
      </c>
      <c r="G289" s="290" t="s">
        <v>241</v>
      </c>
      <c r="H289" s="290" t="s">
        <v>181</v>
      </c>
      <c r="I289" s="290" t="s">
        <v>182</v>
      </c>
      <c r="J289" s="290" t="s">
        <v>183</v>
      </c>
      <c r="K289" s="290" t="s">
        <v>183</v>
      </c>
      <c r="L289" s="293">
        <v>0</v>
      </c>
      <c r="M289" s="293">
        <v>0</v>
      </c>
      <c r="N289" s="293">
        <v>28.173999999999999</v>
      </c>
      <c r="O289" s="290" t="s">
        <v>184</v>
      </c>
      <c r="P289" s="293">
        <v>3533.2</v>
      </c>
      <c r="Q289" s="294">
        <v>467.78</v>
      </c>
      <c r="R289" s="294">
        <v>61.32</v>
      </c>
      <c r="S289" s="294">
        <v>0</v>
      </c>
      <c r="T289" s="294">
        <v>0</v>
      </c>
      <c r="U289" s="294">
        <v>529.1</v>
      </c>
    </row>
    <row r="290" spans="1:21" hidden="1" x14ac:dyDescent="0.25">
      <c r="A290" s="291">
        <v>582928</v>
      </c>
      <c r="B290" s="290" t="s">
        <v>212</v>
      </c>
      <c r="C290" s="292">
        <v>40094</v>
      </c>
      <c r="D290" s="292">
        <v>40094.333333333336</v>
      </c>
      <c r="E290" s="290" t="s">
        <v>240</v>
      </c>
      <c r="F290" s="290" t="s">
        <v>246</v>
      </c>
      <c r="G290" s="290" t="s">
        <v>241</v>
      </c>
      <c r="H290" s="290" t="s">
        <v>181</v>
      </c>
      <c r="I290" s="290" t="s">
        <v>182</v>
      </c>
      <c r="J290" s="290" t="s">
        <v>183</v>
      </c>
      <c r="K290" s="290" t="s">
        <v>183</v>
      </c>
      <c r="L290" s="293">
        <v>0</v>
      </c>
      <c r="M290" s="293">
        <v>29.643999999999998</v>
      </c>
      <c r="N290" s="293">
        <v>38.479999999999997</v>
      </c>
      <c r="O290" s="290" t="s">
        <v>184</v>
      </c>
      <c r="P290" s="293">
        <v>1113.2</v>
      </c>
      <c r="Q290" s="294">
        <v>147.38</v>
      </c>
      <c r="R290" s="294">
        <v>19.32</v>
      </c>
      <c r="S290" s="294">
        <v>0</v>
      </c>
      <c r="T290" s="294">
        <v>0</v>
      </c>
      <c r="U290" s="294">
        <v>166.7</v>
      </c>
    </row>
    <row r="291" spans="1:21" hidden="1" x14ac:dyDescent="0.25">
      <c r="A291" s="291">
        <v>575970</v>
      </c>
      <c r="B291" s="290" t="s">
        <v>185</v>
      </c>
      <c r="C291" s="292">
        <v>39967</v>
      </c>
      <c r="D291" s="292">
        <v>39967.333333333336</v>
      </c>
      <c r="E291" s="290" t="s">
        <v>186</v>
      </c>
      <c r="F291" s="290" t="s">
        <v>187</v>
      </c>
      <c r="G291" s="290" t="s">
        <v>241</v>
      </c>
      <c r="H291" s="290" t="s">
        <v>181</v>
      </c>
      <c r="I291" s="290" t="s">
        <v>182</v>
      </c>
      <c r="J291" s="290" t="s">
        <v>183</v>
      </c>
      <c r="K291" s="290" t="s">
        <v>183</v>
      </c>
      <c r="L291" s="293">
        <v>0</v>
      </c>
      <c r="M291" s="293">
        <v>6.5010000000000003</v>
      </c>
      <c r="N291" s="293">
        <v>9</v>
      </c>
      <c r="O291" s="290" t="s">
        <v>184</v>
      </c>
      <c r="P291" s="293">
        <v>2</v>
      </c>
      <c r="Q291" s="294">
        <v>129.12</v>
      </c>
      <c r="R291" s="294">
        <v>26.04</v>
      </c>
      <c r="S291" s="294">
        <v>0</v>
      </c>
      <c r="T291" s="294">
        <v>0</v>
      </c>
      <c r="U291" s="294">
        <v>155.16</v>
      </c>
    </row>
    <row r="292" spans="1:21" hidden="1" x14ac:dyDescent="0.25">
      <c r="A292" s="291">
        <v>568598</v>
      </c>
      <c r="B292" s="290" t="s">
        <v>212</v>
      </c>
      <c r="C292" s="292">
        <v>39940</v>
      </c>
      <c r="D292" s="292">
        <v>39952.333333333336</v>
      </c>
      <c r="E292" s="290" t="s">
        <v>240</v>
      </c>
      <c r="F292" s="290" t="s">
        <v>230</v>
      </c>
      <c r="G292" s="290" t="s">
        <v>241</v>
      </c>
      <c r="H292" s="290" t="s">
        <v>181</v>
      </c>
      <c r="I292" s="290" t="s">
        <v>182</v>
      </c>
      <c r="J292" s="290" t="s">
        <v>183</v>
      </c>
      <c r="K292" s="290" t="s">
        <v>183</v>
      </c>
      <c r="L292" s="293">
        <v>0</v>
      </c>
      <c r="M292" s="293">
        <v>0</v>
      </c>
      <c r="N292" s="293">
        <v>28.173999999999999</v>
      </c>
      <c r="O292" s="290" t="s">
        <v>184</v>
      </c>
      <c r="P292" s="293">
        <v>143445</v>
      </c>
      <c r="Q292" s="294">
        <v>1529.5</v>
      </c>
      <c r="R292" s="294">
        <v>601.16</v>
      </c>
      <c r="S292" s="294">
        <v>731.23</v>
      </c>
      <c r="T292" s="294">
        <v>0</v>
      </c>
      <c r="U292" s="294">
        <v>2861.9</v>
      </c>
    </row>
    <row r="293" spans="1:21" hidden="1" x14ac:dyDescent="0.25">
      <c r="A293" s="291">
        <v>568598</v>
      </c>
      <c r="B293" s="290" t="s">
        <v>212</v>
      </c>
      <c r="C293" s="292">
        <v>39940</v>
      </c>
      <c r="D293" s="292">
        <v>39952.333333333336</v>
      </c>
      <c r="E293" s="290" t="s">
        <v>240</v>
      </c>
      <c r="F293" s="290" t="s">
        <v>230</v>
      </c>
      <c r="G293" s="290" t="s">
        <v>241</v>
      </c>
      <c r="H293" s="290" t="s">
        <v>181</v>
      </c>
      <c r="I293" s="290" t="s">
        <v>182</v>
      </c>
      <c r="J293" s="290" t="s">
        <v>183</v>
      </c>
      <c r="K293" s="290" t="s">
        <v>183</v>
      </c>
      <c r="L293" s="293">
        <v>0</v>
      </c>
      <c r="M293" s="293">
        <v>29.643999999999998</v>
      </c>
      <c r="N293" s="293">
        <v>38.479999999999997</v>
      </c>
      <c r="O293" s="290" t="s">
        <v>184</v>
      </c>
      <c r="P293" s="293">
        <v>45195</v>
      </c>
      <c r="Q293" s="294">
        <v>481.9</v>
      </c>
      <c r="R293" s="294">
        <v>189.41</v>
      </c>
      <c r="S293" s="294">
        <v>230.39</v>
      </c>
      <c r="T293" s="294">
        <v>0</v>
      </c>
      <c r="U293" s="294">
        <v>901.69</v>
      </c>
    </row>
    <row r="294" spans="1:21" hidden="1" x14ac:dyDescent="0.25">
      <c r="A294" s="291">
        <v>564353</v>
      </c>
      <c r="B294" s="290" t="s">
        <v>185</v>
      </c>
      <c r="C294" s="292">
        <v>39919</v>
      </c>
      <c r="D294" s="292">
        <v>39919.333333333336</v>
      </c>
      <c r="E294" s="290" t="s">
        <v>186</v>
      </c>
      <c r="F294" s="290" t="s">
        <v>192</v>
      </c>
      <c r="G294" s="290" t="s">
        <v>241</v>
      </c>
      <c r="H294" s="290" t="s">
        <v>181</v>
      </c>
      <c r="I294" s="290" t="s">
        <v>182</v>
      </c>
      <c r="J294" s="290" t="s">
        <v>183</v>
      </c>
      <c r="K294" s="290" t="s">
        <v>183</v>
      </c>
      <c r="L294" s="293">
        <v>0</v>
      </c>
      <c r="M294" s="293">
        <v>1.5</v>
      </c>
      <c r="N294" s="293">
        <v>1.5</v>
      </c>
      <c r="O294" s="290" t="s">
        <v>184</v>
      </c>
      <c r="P294" s="293">
        <v>4.5</v>
      </c>
      <c r="Q294" s="294">
        <v>64.56</v>
      </c>
      <c r="R294" s="294">
        <v>13.02</v>
      </c>
      <c r="S294" s="294">
        <v>0</v>
      </c>
      <c r="T294" s="294">
        <v>0</v>
      </c>
      <c r="U294" s="294">
        <v>77.58</v>
      </c>
    </row>
    <row r="295" spans="1:21" hidden="1" x14ac:dyDescent="0.25">
      <c r="A295" s="291">
        <v>563297</v>
      </c>
      <c r="B295" s="290" t="s">
        <v>177</v>
      </c>
      <c r="C295" s="292">
        <v>39916</v>
      </c>
      <c r="D295" s="292">
        <v>39930</v>
      </c>
      <c r="E295" s="290" t="s">
        <v>190</v>
      </c>
      <c r="F295" s="290" t="s">
        <v>203</v>
      </c>
      <c r="G295" s="290" t="s">
        <v>241</v>
      </c>
      <c r="H295" s="290" t="s">
        <v>181</v>
      </c>
      <c r="I295" s="290" t="s">
        <v>182</v>
      </c>
      <c r="J295" s="290" t="s">
        <v>183</v>
      </c>
      <c r="K295" s="290" t="s">
        <v>183</v>
      </c>
      <c r="L295" s="293">
        <v>0</v>
      </c>
      <c r="M295" s="293">
        <v>33.966000000000001</v>
      </c>
      <c r="N295" s="293">
        <v>38.479999999999997</v>
      </c>
      <c r="O295" s="290" t="s">
        <v>184</v>
      </c>
      <c r="P295" s="293">
        <v>9</v>
      </c>
      <c r="Q295" s="294">
        <v>1403.58</v>
      </c>
      <c r="R295" s="294">
        <v>1974.4</v>
      </c>
      <c r="S295" s="294">
        <v>0</v>
      </c>
      <c r="T295" s="294">
        <v>0</v>
      </c>
      <c r="U295" s="294">
        <v>3377.98</v>
      </c>
    </row>
    <row r="296" spans="1:21" hidden="1" x14ac:dyDescent="0.25">
      <c r="A296" s="291">
        <v>557704</v>
      </c>
      <c r="B296" s="290" t="s">
        <v>185</v>
      </c>
      <c r="C296" s="292">
        <v>39889</v>
      </c>
      <c r="D296" s="292">
        <v>39889.333333333336</v>
      </c>
      <c r="E296" s="290" t="s">
        <v>186</v>
      </c>
      <c r="F296" s="290" t="s">
        <v>192</v>
      </c>
      <c r="G296" s="290" t="s">
        <v>241</v>
      </c>
      <c r="H296" s="290" t="s">
        <v>181</v>
      </c>
      <c r="I296" s="290" t="s">
        <v>182</v>
      </c>
      <c r="J296" s="290" t="s">
        <v>183</v>
      </c>
      <c r="K296" s="290" t="s">
        <v>183</v>
      </c>
      <c r="L296" s="293">
        <v>0</v>
      </c>
      <c r="M296" s="293">
        <v>0</v>
      </c>
      <c r="N296" s="293">
        <v>28.173999999999999</v>
      </c>
      <c r="O296" s="290" t="s">
        <v>184</v>
      </c>
      <c r="P296" s="293">
        <v>37.6</v>
      </c>
      <c r="Q296" s="294">
        <v>377.03</v>
      </c>
      <c r="R296" s="294">
        <v>76.040000000000006</v>
      </c>
      <c r="S296" s="294">
        <v>0</v>
      </c>
      <c r="T296" s="294">
        <v>0</v>
      </c>
      <c r="U296" s="294">
        <v>453.07</v>
      </c>
    </row>
    <row r="297" spans="1:21" hidden="1" x14ac:dyDescent="0.25">
      <c r="A297" s="291">
        <v>557704</v>
      </c>
      <c r="B297" s="290" t="s">
        <v>185</v>
      </c>
      <c r="C297" s="292">
        <v>39889</v>
      </c>
      <c r="D297" s="292">
        <v>39889.333333333336</v>
      </c>
      <c r="E297" s="290" t="s">
        <v>186</v>
      </c>
      <c r="F297" s="290" t="s">
        <v>192</v>
      </c>
      <c r="G297" s="290" t="s">
        <v>241</v>
      </c>
      <c r="H297" s="290" t="s">
        <v>181</v>
      </c>
      <c r="I297" s="290" t="s">
        <v>182</v>
      </c>
      <c r="J297" s="290" t="s">
        <v>183</v>
      </c>
      <c r="K297" s="290" t="s">
        <v>183</v>
      </c>
      <c r="L297" s="293">
        <v>0</v>
      </c>
      <c r="M297" s="293">
        <v>29.643999999999998</v>
      </c>
      <c r="N297" s="293">
        <v>38.479999999999997</v>
      </c>
      <c r="O297" s="290" t="s">
        <v>184</v>
      </c>
      <c r="P297" s="293">
        <v>11.85</v>
      </c>
      <c r="Q297" s="294">
        <v>118.79</v>
      </c>
      <c r="R297" s="294">
        <v>23.96</v>
      </c>
      <c r="S297" s="294">
        <v>0</v>
      </c>
      <c r="T297" s="294">
        <v>0</v>
      </c>
      <c r="U297" s="294">
        <v>142.75</v>
      </c>
    </row>
    <row r="298" spans="1:21" hidden="1" x14ac:dyDescent="0.25">
      <c r="A298" s="291">
        <v>553848</v>
      </c>
      <c r="B298" s="290" t="s">
        <v>185</v>
      </c>
      <c r="C298" s="292">
        <v>39871</v>
      </c>
      <c r="D298" s="292">
        <v>39871.333333333336</v>
      </c>
      <c r="E298" s="290" t="s">
        <v>186</v>
      </c>
      <c r="F298" s="290" t="s">
        <v>192</v>
      </c>
      <c r="G298" s="290" t="s">
        <v>241</v>
      </c>
      <c r="H298" s="290" t="s">
        <v>181</v>
      </c>
      <c r="I298" s="290" t="s">
        <v>182</v>
      </c>
      <c r="J298" s="290" t="s">
        <v>183</v>
      </c>
      <c r="K298" s="290" t="s">
        <v>183</v>
      </c>
      <c r="L298" s="293">
        <v>0</v>
      </c>
      <c r="M298" s="293">
        <v>0.5</v>
      </c>
      <c r="N298" s="293">
        <v>0.5</v>
      </c>
      <c r="O298" s="290" t="s">
        <v>184</v>
      </c>
      <c r="P298" s="293">
        <v>0</v>
      </c>
      <c r="Q298" s="294">
        <v>0</v>
      </c>
      <c r="R298" s="294">
        <v>0</v>
      </c>
      <c r="S298" s="294">
        <v>0</v>
      </c>
      <c r="T298" s="294">
        <v>0</v>
      </c>
      <c r="U298" s="294">
        <v>0</v>
      </c>
    </row>
    <row r="299" spans="1:21" hidden="1" x14ac:dyDescent="0.25">
      <c r="A299" s="291">
        <v>550533</v>
      </c>
      <c r="B299" s="290" t="s">
        <v>177</v>
      </c>
      <c r="C299" s="292">
        <v>39853</v>
      </c>
      <c r="D299" s="292">
        <v>39857.333333333336</v>
      </c>
      <c r="E299" s="290" t="s">
        <v>190</v>
      </c>
      <c r="F299" s="290" t="s">
        <v>247</v>
      </c>
      <c r="G299" s="290" t="s">
        <v>241</v>
      </c>
      <c r="H299" s="290" t="s">
        <v>181</v>
      </c>
      <c r="I299" s="290" t="s">
        <v>182</v>
      </c>
      <c r="J299" s="290" t="s">
        <v>183</v>
      </c>
      <c r="K299" s="290" t="s">
        <v>183</v>
      </c>
      <c r="L299" s="293">
        <v>0</v>
      </c>
      <c r="M299" s="293">
        <v>0</v>
      </c>
      <c r="N299" s="293">
        <v>28.173999999999999</v>
      </c>
      <c r="O299" s="290" t="s">
        <v>184</v>
      </c>
      <c r="P299" s="293">
        <v>14.6</v>
      </c>
      <c r="Q299" s="294">
        <v>1960.96</v>
      </c>
      <c r="R299" s="294">
        <v>369.32</v>
      </c>
      <c r="S299" s="294">
        <v>0</v>
      </c>
      <c r="T299" s="294">
        <v>0</v>
      </c>
      <c r="U299" s="294">
        <v>2330.2800000000002</v>
      </c>
    </row>
    <row r="300" spans="1:21" hidden="1" x14ac:dyDescent="0.25">
      <c r="A300" s="291">
        <v>550533</v>
      </c>
      <c r="B300" s="290" t="s">
        <v>177</v>
      </c>
      <c r="C300" s="292">
        <v>39853</v>
      </c>
      <c r="D300" s="292">
        <v>39857.333333333336</v>
      </c>
      <c r="E300" s="290" t="s">
        <v>190</v>
      </c>
      <c r="F300" s="290" t="s">
        <v>247</v>
      </c>
      <c r="G300" s="290" t="s">
        <v>241</v>
      </c>
      <c r="H300" s="290" t="s">
        <v>181</v>
      </c>
      <c r="I300" s="290" t="s">
        <v>182</v>
      </c>
      <c r="J300" s="290" t="s">
        <v>183</v>
      </c>
      <c r="K300" s="290" t="s">
        <v>183</v>
      </c>
      <c r="L300" s="293">
        <v>0</v>
      </c>
      <c r="M300" s="293">
        <v>29.643999999999998</v>
      </c>
      <c r="N300" s="293">
        <v>38.479999999999997</v>
      </c>
      <c r="O300" s="290" t="s">
        <v>184</v>
      </c>
      <c r="P300" s="293">
        <v>4.5999999999999996</v>
      </c>
      <c r="Q300" s="294">
        <v>617.84</v>
      </c>
      <c r="R300" s="294">
        <v>116.36</v>
      </c>
      <c r="S300" s="294">
        <v>0</v>
      </c>
      <c r="T300" s="294">
        <v>0</v>
      </c>
      <c r="U300" s="294">
        <v>734.2</v>
      </c>
    </row>
    <row r="301" spans="1:21" hidden="1" x14ac:dyDescent="0.25">
      <c r="A301" s="291">
        <v>542255</v>
      </c>
      <c r="B301" s="290" t="s">
        <v>177</v>
      </c>
      <c r="C301" s="292">
        <v>39818</v>
      </c>
      <c r="D301" s="292">
        <v>39818.333333333336</v>
      </c>
      <c r="E301" s="290" t="s">
        <v>190</v>
      </c>
      <c r="F301" s="290" t="s">
        <v>202</v>
      </c>
      <c r="G301" s="290" t="s">
        <v>241</v>
      </c>
      <c r="H301" s="290" t="s">
        <v>181</v>
      </c>
      <c r="I301" s="290" t="s">
        <v>182</v>
      </c>
      <c r="J301" s="290" t="s">
        <v>183</v>
      </c>
      <c r="K301" s="290" t="s">
        <v>183</v>
      </c>
      <c r="L301" s="293">
        <v>0</v>
      </c>
      <c r="M301" s="293">
        <v>0</v>
      </c>
      <c r="N301" s="293">
        <v>28.173999999999999</v>
      </c>
      <c r="O301" s="290" t="s">
        <v>184</v>
      </c>
      <c r="P301" s="293">
        <v>35.04</v>
      </c>
      <c r="Q301" s="294">
        <v>1770.8</v>
      </c>
      <c r="R301" s="294">
        <v>237.22</v>
      </c>
      <c r="S301" s="294">
        <v>0</v>
      </c>
      <c r="T301" s="294">
        <v>0</v>
      </c>
      <c r="U301" s="294">
        <v>2008.03</v>
      </c>
    </row>
    <row r="302" spans="1:21" hidden="1" x14ac:dyDescent="0.25">
      <c r="A302" s="291">
        <v>542255</v>
      </c>
      <c r="B302" s="290" t="s">
        <v>177</v>
      </c>
      <c r="C302" s="292">
        <v>39818</v>
      </c>
      <c r="D302" s="292">
        <v>39818.333333333336</v>
      </c>
      <c r="E302" s="290" t="s">
        <v>190</v>
      </c>
      <c r="F302" s="290" t="s">
        <v>202</v>
      </c>
      <c r="G302" s="290" t="s">
        <v>241</v>
      </c>
      <c r="H302" s="290" t="s">
        <v>181</v>
      </c>
      <c r="I302" s="290" t="s">
        <v>182</v>
      </c>
      <c r="J302" s="290" t="s">
        <v>183</v>
      </c>
      <c r="K302" s="290" t="s">
        <v>183</v>
      </c>
      <c r="L302" s="293">
        <v>0</v>
      </c>
      <c r="M302" s="293">
        <v>29.643999999999998</v>
      </c>
      <c r="N302" s="293">
        <v>38.479999999999997</v>
      </c>
      <c r="O302" s="290" t="s">
        <v>184</v>
      </c>
      <c r="P302" s="293">
        <v>11.04</v>
      </c>
      <c r="Q302" s="294">
        <v>557.91999999999996</v>
      </c>
      <c r="R302" s="294">
        <v>74.739999999999995</v>
      </c>
      <c r="S302" s="294">
        <v>0</v>
      </c>
      <c r="T302" s="294">
        <v>0</v>
      </c>
      <c r="U302" s="294">
        <v>632.66999999999996</v>
      </c>
    </row>
    <row r="303" spans="1:21" hidden="1" x14ac:dyDescent="0.25">
      <c r="A303" s="291">
        <v>521228</v>
      </c>
      <c r="B303" s="290" t="s">
        <v>212</v>
      </c>
      <c r="C303" s="292">
        <v>39722</v>
      </c>
      <c r="D303" s="292">
        <v>39723.333333333336</v>
      </c>
      <c r="E303" s="290" t="s">
        <v>240</v>
      </c>
      <c r="F303" s="290" t="s">
        <v>248</v>
      </c>
      <c r="G303" s="290" t="s">
        <v>241</v>
      </c>
      <c r="H303" s="290" t="s">
        <v>181</v>
      </c>
      <c r="I303" s="290" t="s">
        <v>182</v>
      </c>
      <c r="J303" s="290" t="s">
        <v>183</v>
      </c>
      <c r="K303" s="290" t="s">
        <v>183</v>
      </c>
      <c r="L303" s="293">
        <v>0</v>
      </c>
      <c r="M303" s="293">
        <v>0</v>
      </c>
      <c r="N303" s="293">
        <v>28.173999999999999</v>
      </c>
      <c r="O303" s="290" t="s">
        <v>184</v>
      </c>
      <c r="P303" s="293">
        <v>8.0299999999999994</v>
      </c>
      <c r="Q303" s="294">
        <v>1135.6500000000001</v>
      </c>
      <c r="R303" s="294">
        <v>712.66</v>
      </c>
      <c r="S303" s="294">
        <v>2974.89</v>
      </c>
      <c r="T303" s="294">
        <v>0</v>
      </c>
      <c r="U303" s="294">
        <v>4823.1899999999996</v>
      </c>
    </row>
    <row r="304" spans="1:21" hidden="1" x14ac:dyDescent="0.25">
      <c r="A304" s="291">
        <v>521228</v>
      </c>
      <c r="B304" s="290" t="s">
        <v>212</v>
      </c>
      <c r="C304" s="292">
        <v>39722</v>
      </c>
      <c r="D304" s="292">
        <v>39723.333333333336</v>
      </c>
      <c r="E304" s="290" t="s">
        <v>240</v>
      </c>
      <c r="F304" s="290" t="s">
        <v>248</v>
      </c>
      <c r="G304" s="290" t="s">
        <v>241</v>
      </c>
      <c r="H304" s="290" t="s">
        <v>181</v>
      </c>
      <c r="I304" s="290" t="s">
        <v>182</v>
      </c>
      <c r="J304" s="290" t="s">
        <v>183</v>
      </c>
      <c r="K304" s="290" t="s">
        <v>183</v>
      </c>
      <c r="L304" s="293">
        <v>0</v>
      </c>
      <c r="M304" s="293">
        <v>29.643999999999998</v>
      </c>
      <c r="N304" s="293">
        <v>38.479999999999997</v>
      </c>
      <c r="O304" s="290" t="s">
        <v>184</v>
      </c>
      <c r="P304" s="293">
        <v>2.5299999999999998</v>
      </c>
      <c r="Q304" s="294">
        <v>357.81</v>
      </c>
      <c r="R304" s="294">
        <v>224.54</v>
      </c>
      <c r="S304" s="294">
        <v>937.29</v>
      </c>
      <c r="T304" s="294">
        <v>0</v>
      </c>
      <c r="U304" s="294">
        <v>1519.64</v>
      </c>
    </row>
    <row r="305" spans="1:21" hidden="1" x14ac:dyDescent="0.25">
      <c r="A305" s="291">
        <v>515106</v>
      </c>
      <c r="B305" s="290" t="s">
        <v>177</v>
      </c>
      <c r="C305" s="292">
        <v>39703</v>
      </c>
      <c r="D305" s="292">
        <v>39752</v>
      </c>
      <c r="E305" s="290" t="s">
        <v>190</v>
      </c>
      <c r="F305" s="290" t="s">
        <v>244</v>
      </c>
      <c r="G305" s="290" t="s">
        <v>241</v>
      </c>
      <c r="H305" s="290" t="s">
        <v>181</v>
      </c>
      <c r="I305" s="290" t="s">
        <v>182</v>
      </c>
      <c r="J305" s="290" t="s">
        <v>183</v>
      </c>
      <c r="K305" s="290" t="s">
        <v>183</v>
      </c>
      <c r="L305" s="293">
        <v>0</v>
      </c>
      <c r="M305" s="293">
        <v>1</v>
      </c>
      <c r="N305" s="293">
        <v>2.0009999999999999</v>
      </c>
      <c r="O305" s="290" t="s">
        <v>184</v>
      </c>
      <c r="P305" s="293">
        <v>9</v>
      </c>
      <c r="Q305" s="294">
        <v>9554.1</v>
      </c>
      <c r="R305" s="294">
        <v>4510.32</v>
      </c>
      <c r="S305" s="294">
        <v>789.27</v>
      </c>
      <c r="T305" s="294">
        <v>0</v>
      </c>
      <c r="U305" s="294">
        <v>14853.69</v>
      </c>
    </row>
    <row r="306" spans="1:21" hidden="1" x14ac:dyDescent="0.25">
      <c r="A306" s="291">
        <v>506719</v>
      </c>
      <c r="B306" s="290" t="s">
        <v>185</v>
      </c>
      <c r="C306" s="292">
        <v>39675</v>
      </c>
      <c r="D306" s="292">
        <v>39675.333333333336</v>
      </c>
      <c r="E306" s="290" t="s">
        <v>186</v>
      </c>
      <c r="F306" s="290" t="s">
        <v>192</v>
      </c>
      <c r="G306" s="290" t="s">
        <v>241</v>
      </c>
      <c r="H306" s="290" t="s">
        <v>181</v>
      </c>
      <c r="I306" s="290" t="s">
        <v>182</v>
      </c>
      <c r="J306" s="290" t="s">
        <v>183</v>
      </c>
      <c r="K306" s="290" t="s">
        <v>183</v>
      </c>
      <c r="L306" s="293">
        <v>0</v>
      </c>
      <c r="M306" s="293">
        <v>0</v>
      </c>
      <c r="N306" s="293">
        <v>28.173999999999999</v>
      </c>
      <c r="O306" s="290" t="s">
        <v>184</v>
      </c>
      <c r="P306" s="293">
        <v>2.19</v>
      </c>
      <c r="Q306" s="294">
        <v>38.19</v>
      </c>
      <c r="R306" s="294">
        <v>26.78</v>
      </c>
      <c r="S306" s="294">
        <v>0</v>
      </c>
      <c r="T306" s="294">
        <v>0</v>
      </c>
      <c r="U306" s="294">
        <v>64.98</v>
      </c>
    </row>
    <row r="307" spans="1:21" hidden="1" x14ac:dyDescent="0.25">
      <c r="A307" s="291">
        <v>506719</v>
      </c>
      <c r="B307" s="290" t="s">
        <v>185</v>
      </c>
      <c r="C307" s="292">
        <v>39675</v>
      </c>
      <c r="D307" s="292">
        <v>39675.333333333336</v>
      </c>
      <c r="E307" s="290" t="s">
        <v>186</v>
      </c>
      <c r="F307" s="290" t="s">
        <v>192</v>
      </c>
      <c r="G307" s="290" t="s">
        <v>241</v>
      </c>
      <c r="H307" s="290" t="s">
        <v>181</v>
      </c>
      <c r="I307" s="290" t="s">
        <v>182</v>
      </c>
      <c r="J307" s="290" t="s">
        <v>183</v>
      </c>
      <c r="K307" s="290" t="s">
        <v>183</v>
      </c>
      <c r="L307" s="293">
        <v>0</v>
      </c>
      <c r="M307" s="293">
        <v>29.643999999999998</v>
      </c>
      <c r="N307" s="293">
        <v>38.479999999999997</v>
      </c>
      <c r="O307" s="290" t="s">
        <v>184</v>
      </c>
      <c r="P307" s="293">
        <v>0.69</v>
      </c>
      <c r="Q307" s="294">
        <v>12.03</v>
      </c>
      <c r="R307" s="294">
        <v>8.44</v>
      </c>
      <c r="S307" s="294">
        <v>0</v>
      </c>
      <c r="T307" s="294">
        <v>0</v>
      </c>
      <c r="U307" s="294">
        <v>20.47</v>
      </c>
    </row>
    <row r="308" spans="1:21" hidden="1" x14ac:dyDescent="0.25">
      <c r="A308" s="291">
        <v>501226</v>
      </c>
      <c r="B308" s="290" t="s">
        <v>177</v>
      </c>
      <c r="C308" s="292">
        <v>39657</v>
      </c>
      <c r="D308" s="292">
        <v>39671</v>
      </c>
      <c r="E308" s="290" t="s">
        <v>190</v>
      </c>
      <c r="F308" s="290" t="s">
        <v>249</v>
      </c>
      <c r="G308" s="290" t="s">
        <v>241</v>
      </c>
      <c r="H308" s="290" t="s">
        <v>181</v>
      </c>
      <c r="I308" s="290" t="s">
        <v>182</v>
      </c>
      <c r="J308" s="290" t="s">
        <v>183</v>
      </c>
      <c r="K308" s="290" t="s">
        <v>183</v>
      </c>
      <c r="L308" s="293">
        <v>0</v>
      </c>
      <c r="M308" s="293">
        <v>24.318000000000001</v>
      </c>
      <c r="N308" s="293">
        <v>24.568000000000001</v>
      </c>
      <c r="O308" s="290" t="s">
        <v>184</v>
      </c>
      <c r="P308" s="293">
        <v>24974.46</v>
      </c>
      <c r="Q308" s="294">
        <v>11927.02</v>
      </c>
      <c r="R308" s="294">
        <v>13047.44</v>
      </c>
      <c r="S308" s="294">
        <v>0</v>
      </c>
      <c r="T308" s="294">
        <v>0</v>
      </c>
      <c r="U308" s="294">
        <v>24974.46</v>
      </c>
    </row>
    <row r="309" spans="1:21" hidden="1" x14ac:dyDescent="0.25">
      <c r="A309" s="291">
        <v>498785</v>
      </c>
      <c r="B309" s="290" t="s">
        <v>177</v>
      </c>
      <c r="C309" s="292">
        <v>39658</v>
      </c>
      <c r="D309" s="292">
        <v>39691</v>
      </c>
      <c r="E309" s="290" t="s">
        <v>190</v>
      </c>
      <c r="F309" s="290" t="s">
        <v>218</v>
      </c>
      <c r="G309" s="290" t="s">
        <v>241</v>
      </c>
      <c r="H309" s="290" t="s">
        <v>181</v>
      </c>
      <c r="I309" s="290" t="s">
        <v>182</v>
      </c>
      <c r="J309" s="290" t="s">
        <v>183</v>
      </c>
      <c r="K309" s="290" t="s">
        <v>183</v>
      </c>
      <c r="L309" s="293">
        <v>0</v>
      </c>
      <c r="M309" s="293">
        <v>24.468</v>
      </c>
      <c r="N309" s="293">
        <v>24.468</v>
      </c>
      <c r="O309" s="290" t="s">
        <v>184</v>
      </c>
      <c r="P309" s="293">
        <v>40</v>
      </c>
      <c r="Q309" s="294">
        <v>2854.59</v>
      </c>
      <c r="R309" s="294">
        <v>1940.41</v>
      </c>
      <c r="S309" s="294">
        <v>2223.7199999999998</v>
      </c>
      <c r="T309" s="294">
        <v>0</v>
      </c>
      <c r="U309" s="294">
        <v>7018.72</v>
      </c>
    </row>
    <row r="310" spans="1:21" hidden="1" x14ac:dyDescent="0.25">
      <c r="A310" s="291">
        <v>498778</v>
      </c>
      <c r="B310" s="290" t="s">
        <v>177</v>
      </c>
      <c r="C310" s="292">
        <v>39659</v>
      </c>
      <c r="D310" s="292">
        <v>39664.333333333336</v>
      </c>
      <c r="E310" s="290" t="s">
        <v>190</v>
      </c>
      <c r="F310" s="290" t="s">
        <v>218</v>
      </c>
      <c r="G310" s="290" t="s">
        <v>241</v>
      </c>
      <c r="H310" s="290" t="s">
        <v>181</v>
      </c>
      <c r="I310" s="290" t="s">
        <v>182</v>
      </c>
      <c r="J310" s="290" t="s">
        <v>183</v>
      </c>
      <c r="K310" s="290" t="s">
        <v>183</v>
      </c>
      <c r="L310" s="293">
        <v>0</v>
      </c>
      <c r="M310" s="293">
        <v>24.367999999999999</v>
      </c>
      <c r="N310" s="293">
        <v>24.367999999999999</v>
      </c>
      <c r="O310" s="290" t="s">
        <v>184</v>
      </c>
      <c r="P310" s="293">
        <v>50</v>
      </c>
      <c r="Q310" s="294">
        <v>2870.36</v>
      </c>
      <c r="R310" s="294">
        <v>2216.41</v>
      </c>
      <c r="S310" s="294">
        <v>483.84</v>
      </c>
      <c r="T310" s="294">
        <v>0</v>
      </c>
      <c r="U310" s="294">
        <v>5570.61</v>
      </c>
    </row>
    <row r="311" spans="1:21" hidden="1" x14ac:dyDescent="0.25">
      <c r="A311" s="291">
        <v>497536</v>
      </c>
      <c r="B311" s="290" t="s">
        <v>185</v>
      </c>
      <c r="C311" s="292">
        <v>39651</v>
      </c>
      <c r="D311" s="292">
        <v>39651.333333333336</v>
      </c>
      <c r="E311" s="290" t="s">
        <v>186</v>
      </c>
      <c r="F311" s="290" t="s">
        <v>192</v>
      </c>
      <c r="G311" s="290" t="s">
        <v>241</v>
      </c>
      <c r="H311" s="290" t="s">
        <v>181</v>
      </c>
      <c r="I311" s="290" t="s">
        <v>182</v>
      </c>
      <c r="J311" s="290" t="s">
        <v>183</v>
      </c>
      <c r="K311" s="290" t="s">
        <v>183</v>
      </c>
      <c r="L311" s="293">
        <v>0</v>
      </c>
      <c r="M311" s="293">
        <v>0</v>
      </c>
      <c r="N311" s="293">
        <v>28.173999999999999</v>
      </c>
      <c r="O311" s="290" t="s">
        <v>184</v>
      </c>
      <c r="P311" s="293">
        <v>11.68</v>
      </c>
      <c r="Q311" s="294">
        <v>297.72000000000003</v>
      </c>
      <c r="R311" s="294">
        <v>214.27</v>
      </c>
      <c r="S311" s="294">
        <v>0</v>
      </c>
      <c r="T311" s="294">
        <v>0</v>
      </c>
      <c r="U311" s="294">
        <v>511.99</v>
      </c>
    </row>
    <row r="312" spans="1:21" hidden="1" x14ac:dyDescent="0.25">
      <c r="A312" s="291">
        <v>497536</v>
      </c>
      <c r="B312" s="290" t="s">
        <v>185</v>
      </c>
      <c r="C312" s="292">
        <v>39651</v>
      </c>
      <c r="D312" s="292">
        <v>39651.333333333336</v>
      </c>
      <c r="E312" s="290" t="s">
        <v>186</v>
      </c>
      <c r="F312" s="290" t="s">
        <v>192</v>
      </c>
      <c r="G312" s="290" t="s">
        <v>241</v>
      </c>
      <c r="H312" s="290" t="s">
        <v>181</v>
      </c>
      <c r="I312" s="290" t="s">
        <v>182</v>
      </c>
      <c r="J312" s="290" t="s">
        <v>183</v>
      </c>
      <c r="K312" s="290" t="s">
        <v>183</v>
      </c>
      <c r="L312" s="293">
        <v>0</v>
      </c>
      <c r="M312" s="293">
        <v>29.643999999999998</v>
      </c>
      <c r="N312" s="293">
        <v>38.479999999999997</v>
      </c>
      <c r="O312" s="290" t="s">
        <v>184</v>
      </c>
      <c r="P312" s="293">
        <v>3.68</v>
      </c>
      <c r="Q312" s="294">
        <v>93.8</v>
      </c>
      <c r="R312" s="294">
        <v>67.510000000000005</v>
      </c>
      <c r="S312" s="294">
        <v>0</v>
      </c>
      <c r="T312" s="294">
        <v>0</v>
      </c>
      <c r="U312" s="294">
        <v>161.31</v>
      </c>
    </row>
    <row r="313" spans="1:21" hidden="1" x14ac:dyDescent="0.25">
      <c r="A313" s="291">
        <v>494723</v>
      </c>
      <c r="B313" s="290" t="s">
        <v>177</v>
      </c>
      <c r="C313" s="292">
        <v>39644</v>
      </c>
      <c r="D313" s="292">
        <v>39645</v>
      </c>
      <c r="E313" s="290" t="s">
        <v>190</v>
      </c>
      <c r="F313" s="290" t="s">
        <v>231</v>
      </c>
      <c r="G313" s="290" t="s">
        <v>241</v>
      </c>
      <c r="H313" s="290" t="s">
        <v>181</v>
      </c>
      <c r="I313" s="290" t="s">
        <v>182</v>
      </c>
      <c r="J313" s="290" t="s">
        <v>183</v>
      </c>
      <c r="K313" s="290" t="s">
        <v>183</v>
      </c>
      <c r="L313" s="293">
        <v>0</v>
      </c>
      <c r="M313" s="293">
        <v>0</v>
      </c>
      <c r="N313" s="293">
        <v>18.975999999999999</v>
      </c>
      <c r="O313" s="290" t="s">
        <v>184</v>
      </c>
      <c r="P313" s="293">
        <v>75</v>
      </c>
      <c r="Q313" s="294">
        <v>3293.32</v>
      </c>
      <c r="R313" s="294">
        <v>1206.6400000000001</v>
      </c>
      <c r="S313" s="294">
        <v>0</v>
      </c>
      <c r="T313" s="294">
        <v>0</v>
      </c>
      <c r="U313" s="294">
        <v>4499.96</v>
      </c>
    </row>
    <row r="314" spans="1:21" hidden="1" x14ac:dyDescent="0.25">
      <c r="A314" s="291">
        <v>494284</v>
      </c>
      <c r="B314" s="290" t="s">
        <v>212</v>
      </c>
      <c r="C314" s="292">
        <v>39647</v>
      </c>
      <c r="D314" s="292">
        <v>39975.333333333336</v>
      </c>
      <c r="E314" s="290" t="s">
        <v>240</v>
      </c>
      <c r="F314" s="290" t="s">
        <v>246</v>
      </c>
      <c r="G314" s="290" t="s">
        <v>241</v>
      </c>
      <c r="H314" s="290" t="s">
        <v>181</v>
      </c>
      <c r="I314" s="290" t="s">
        <v>182</v>
      </c>
      <c r="J314" s="290" t="s">
        <v>183</v>
      </c>
      <c r="K314" s="290" t="s">
        <v>183</v>
      </c>
      <c r="L314" s="293">
        <v>0</v>
      </c>
      <c r="M314" s="293">
        <v>0</v>
      </c>
      <c r="N314" s="293">
        <v>28.173999999999999</v>
      </c>
      <c r="O314" s="290" t="s">
        <v>184</v>
      </c>
      <c r="P314" s="293">
        <v>21783.200000000001</v>
      </c>
      <c r="Q314" s="294">
        <v>4738.63</v>
      </c>
      <c r="R314" s="294">
        <v>921.7</v>
      </c>
      <c r="S314" s="294">
        <v>49.38</v>
      </c>
      <c r="T314" s="294">
        <v>0</v>
      </c>
      <c r="U314" s="294">
        <v>5709.72</v>
      </c>
    </row>
    <row r="315" spans="1:21" hidden="1" x14ac:dyDescent="0.25">
      <c r="A315" s="291">
        <v>494284</v>
      </c>
      <c r="B315" s="290" t="s">
        <v>212</v>
      </c>
      <c r="C315" s="292">
        <v>39647</v>
      </c>
      <c r="D315" s="292">
        <v>39975.333333333336</v>
      </c>
      <c r="E315" s="290" t="s">
        <v>240</v>
      </c>
      <c r="F315" s="290" t="s">
        <v>246</v>
      </c>
      <c r="G315" s="290" t="s">
        <v>241</v>
      </c>
      <c r="H315" s="290" t="s">
        <v>181</v>
      </c>
      <c r="I315" s="290" t="s">
        <v>182</v>
      </c>
      <c r="J315" s="290" t="s">
        <v>183</v>
      </c>
      <c r="K315" s="290" t="s">
        <v>183</v>
      </c>
      <c r="L315" s="293">
        <v>0</v>
      </c>
      <c r="M315" s="293">
        <v>29.643999999999998</v>
      </c>
      <c r="N315" s="293">
        <v>38.479999999999997</v>
      </c>
      <c r="O315" s="290" t="s">
        <v>184</v>
      </c>
      <c r="P315" s="293">
        <v>6863.2</v>
      </c>
      <c r="Q315" s="294">
        <v>1492.99</v>
      </c>
      <c r="R315" s="294">
        <v>290.39999999999998</v>
      </c>
      <c r="S315" s="294">
        <v>15.56</v>
      </c>
      <c r="T315" s="294">
        <v>0</v>
      </c>
      <c r="U315" s="294">
        <v>1798.95</v>
      </c>
    </row>
    <row r="316" spans="1:21" hidden="1" x14ac:dyDescent="0.25">
      <c r="A316" s="291">
        <v>491166</v>
      </c>
      <c r="B316" s="290" t="s">
        <v>212</v>
      </c>
      <c r="C316" s="292">
        <v>39630</v>
      </c>
      <c r="D316" s="292">
        <v>39994.333333333336</v>
      </c>
      <c r="E316" s="290" t="s">
        <v>240</v>
      </c>
      <c r="F316" s="290" t="s">
        <v>246</v>
      </c>
      <c r="G316" s="290" t="s">
        <v>241</v>
      </c>
      <c r="H316" s="290" t="s">
        <v>181</v>
      </c>
      <c r="I316" s="290" t="s">
        <v>182</v>
      </c>
      <c r="J316" s="290" t="s">
        <v>183</v>
      </c>
      <c r="K316" s="290" t="s">
        <v>183</v>
      </c>
      <c r="L316" s="293">
        <v>0</v>
      </c>
      <c r="M316" s="293">
        <v>0</v>
      </c>
      <c r="N316" s="293">
        <v>28.173999999999999</v>
      </c>
      <c r="O316" s="290" t="s">
        <v>184</v>
      </c>
      <c r="P316" s="293">
        <v>0</v>
      </c>
      <c r="Q316" s="294">
        <v>0</v>
      </c>
      <c r="R316" s="294">
        <v>0</v>
      </c>
      <c r="S316" s="294">
        <v>0</v>
      </c>
      <c r="T316" s="294">
        <v>0</v>
      </c>
      <c r="U316" s="294">
        <v>0</v>
      </c>
    </row>
    <row r="317" spans="1:21" hidden="1" x14ac:dyDescent="0.25">
      <c r="A317" s="291">
        <v>491166</v>
      </c>
      <c r="B317" s="290" t="s">
        <v>212</v>
      </c>
      <c r="C317" s="292">
        <v>39630</v>
      </c>
      <c r="D317" s="292">
        <v>39994.333333333336</v>
      </c>
      <c r="E317" s="290" t="s">
        <v>240</v>
      </c>
      <c r="F317" s="290" t="s">
        <v>246</v>
      </c>
      <c r="G317" s="290" t="s">
        <v>241</v>
      </c>
      <c r="H317" s="290" t="s">
        <v>181</v>
      </c>
      <c r="I317" s="290" t="s">
        <v>182</v>
      </c>
      <c r="J317" s="290" t="s">
        <v>183</v>
      </c>
      <c r="K317" s="290" t="s">
        <v>183</v>
      </c>
      <c r="L317" s="293">
        <v>0</v>
      </c>
      <c r="M317" s="293">
        <v>29.643999999999998</v>
      </c>
      <c r="N317" s="293">
        <v>38.479999999999997</v>
      </c>
      <c r="O317" s="290" t="s">
        <v>184</v>
      </c>
      <c r="P317" s="293">
        <v>0</v>
      </c>
      <c r="Q317" s="294">
        <v>0</v>
      </c>
      <c r="R317" s="294">
        <v>0</v>
      </c>
      <c r="S317" s="294">
        <v>0</v>
      </c>
      <c r="T317" s="294">
        <v>0</v>
      </c>
      <c r="U317" s="294">
        <v>0</v>
      </c>
    </row>
    <row r="318" spans="1:21" hidden="1" x14ac:dyDescent="0.25">
      <c r="A318" s="291">
        <v>483915</v>
      </c>
      <c r="B318" s="290" t="s">
        <v>177</v>
      </c>
      <c r="C318" s="292">
        <v>39609</v>
      </c>
      <c r="D318" s="292">
        <v>39864</v>
      </c>
      <c r="E318" s="290" t="s">
        <v>190</v>
      </c>
      <c r="F318" s="290" t="s">
        <v>245</v>
      </c>
      <c r="G318" s="290" t="s">
        <v>250</v>
      </c>
      <c r="H318" s="290" t="s">
        <v>181</v>
      </c>
      <c r="I318" s="290" t="s">
        <v>194</v>
      </c>
      <c r="J318" s="290" t="s">
        <v>183</v>
      </c>
      <c r="K318" s="290" t="s">
        <v>183</v>
      </c>
      <c r="L318" s="293">
        <v>0</v>
      </c>
      <c r="M318" s="293">
        <v>0</v>
      </c>
      <c r="N318" s="293">
        <v>3.4409999999999998</v>
      </c>
      <c r="O318" s="290" t="s">
        <v>184</v>
      </c>
      <c r="P318" s="293">
        <v>1000</v>
      </c>
      <c r="Q318" s="294">
        <v>1593.28</v>
      </c>
      <c r="R318" s="294">
        <v>915.36</v>
      </c>
      <c r="S318" s="294">
        <v>0</v>
      </c>
      <c r="T318" s="294">
        <v>0</v>
      </c>
      <c r="U318" s="294">
        <v>2508.64</v>
      </c>
    </row>
    <row r="319" spans="1:21" hidden="1" x14ac:dyDescent="0.25">
      <c r="A319" s="291">
        <v>483914</v>
      </c>
      <c r="B319" s="290" t="s">
        <v>177</v>
      </c>
      <c r="C319" s="292">
        <v>39609</v>
      </c>
      <c r="D319" s="292">
        <v>39864</v>
      </c>
      <c r="E319" s="290" t="s">
        <v>190</v>
      </c>
      <c r="F319" s="290" t="s">
        <v>218</v>
      </c>
      <c r="G319" s="290" t="s">
        <v>250</v>
      </c>
      <c r="H319" s="290" t="s">
        <v>181</v>
      </c>
      <c r="I319" s="290" t="s">
        <v>194</v>
      </c>
      <c r="J319" s="290" t="s">
        <v>183</v>
      </c>
      <c r="K319" s="290" t="s">
        <v>183</v>
      </c>
      <c r="L319" s="293">
        <v>0</v>
      </c>
      <c r="M319" s="293">
        <v>0</v>
      </c>
      <c r="N319" s="293">
        <v>3.4409999999999998</v>
      </c>
      <c r="O319" s="290" t="s">
        <v>184</v>
      </c>
      <c r="P319" s="293">
        <v>40</v>
      </c>
      <c r="Q319" s="294">
        <v>796.64</v>
      </c>
      <c r="R319" s="294">
        <v>457.68</v>
      </c>
      <c r="S319" s="294">
        <v>0</v>
      </c>
      <c r="T319" s="294">
        <v>0</v>
      </c>
      <c r="U319" s="294">
        <v>1254.32</v>
      </c>
    </row>
    <row r="320" spans="1:21" hidden="1" x14ac:dyDescent="0.25">
      <c r="A320" s="291">
        <v>479820</v>
      </c>
      <c r="B320" s="290" t="s">
        <v>177</v>
      </c>
      <c r="C320" s="292">
        <v>39597</v>
      </c>
      <c r="D320" s="292">
        <v>39601</v>
      </c>
      <c r="E320" s="290" t="s">
        <v>195</v>
      </c>
      <c r="F320" s="290" t="s">
        <v>218</v>
      </c>
      <c r="G320" s="290" t="s">
        <v>251</v>
      </c>
      <c r="H320" s="290" t="s">
        <v>197</v>
      </c>
      <c r="I320" s="290" t="s">
        <v>182</v>
      </c>
      <c r="J320" s="290" t="s">
        <v>183</v>
      </c>
      <c r="K320" s="290" t="s">
        <v>183</v>
      </c>
      <c r="L320" s="293">
        <v>0</v>
      </c>
      <c r="M320" s="293">
        <v>0</v>
      </c>
      <c r="N320" s="293">
        <v>28.173999999999999</v>
      </c>
      <c r="O320" s="290" t="s">
        <v>184</v>
      </c>
      <c r="P320" s="293">
        <v>25.55</v>
      </c>
      <c r="Q320" s="294">
        <v>1163.0899999999999</v>
      </c>
      <c r="R320" s="294">
        <v>418.84</v>
      </c>
      <c r="S320" s="294">
        <v>669.24</v>
      </c>
      <c r="T320" s="294">
        <v>0</v>
      </c>
      <c r="U320" s="294">
        <v>2251.1799999999998</v>
      </c>
    </row>
    <row r="321" spans="1:21" hidden="1" x14ac:dyDescent="0.25">
      <c r="A321" s="291">
        <v>479820</v>
      </c>
      <c r="B321" s="290" t="s">
        <v>177</v>
      </c>
      <c r="C321" s="292">
        <v>39597</v>
      </c>
      <c r="D321" s="292">
        <v>39601</v>
      </c>
      <c r="E321" s="290" t="s">
        <v>195</v>
      </c>
      <c r="F321" s="290" t="s">
        <v>218</v>
      </c>
      <c r="G321" s="290" t="s">
        <v>251</v>
      </c>
      <c r="H321" s="290" t="s">
        <v>197</v>
      </c>
      <c r="I321" s="290" t="s">
        <v>182</v>
      </c>
      <c r="J321" s="290" t="s">
        <v>183</v>
      </c>
      <c r="K321" s="290" t="s">
        <v>183</v>
      </c>
      <c r="L321" s="293">
        <v>0</v>
      </c>
      <c r="M321" s="293">
        <v>29.643999999999998</v>
      </c>
      <c r="N321" s="293">
        <v>38.479999999999997</v>
      </c>
      <c r="O321" s="290" t="s">
        <v>184</v>
      </c>
      <c r="P321" s="293">
        <v>8.0500000000000007</v>
      </c>
      <c r="Q321" s="294">
        <v>366.45</v>
      </c>
      <c r="R321" s="294">
        <v>131.96</v>
      </c>
      <c r="S321" s="294">
        <v>210.86</v>
      </c>
      <c r="T321" s="294">
        <v>0</v>
      </c>
      <c r="U321" s="294">
        <v>709.28</v>
      </c>
    </row>
    <row r="322" spans="1:21" hidden="1" x14ac:dyDescent="0.25">
      <c r="A322" s="291">
        <v>474998</v>
      </c>
      <c r="B322" s="290" t="s">
        <v>177</v>
      </c>
      <c r="C322" s="292">
        <v>39588</v>
      </c>
      <c r="D322" s="292">
        <v>39622</v>
      </c>
      <c r="E322" s="290" t="s">
        <v>190</v>
      </c>
      <c r="F322" s="290" t="s">
        <v>252</v>
      </c>
      <c r="G322" s="290" t="s">
        <v>251</v>
      </c>
      <c r="H322" s="290" t="s">
        <v>181</v>
      </c>
      <c r="I322" s="290" t="s">
        <v>182</v>
      </c>
      <c r="J322" s="290" t="s">
        <v>183</v>
      </c>
      <c r="K322" s="290" t="s">
        <v>183</v>
      </c>
      <c r="L322" s="293">
        <v>0</v>
      </c>
      <c r="M322" s="293">
        <v>0</v>
      </c>
      <c r="N322" s="293">
        <v>28.173999999999999</v>
      </c>
      <c r="O322" s="290" t="s">
        <v>184</v>
      </c>
      <c r="P322" s="293">
        <v>1095</v>
      </c>
      <c r="Q322" s="294">
        <v>13870.58</v>
      </c>
      <c r="R322" s="294">
        <v>8337.5300000000007</v>
      </c>
      <c r="S322" s="294">
        <v>284.33999999999997</v>
      </c>
      <c r="T322" s="294">
        <v>0</v>
      </c>
      <c r="U322" s="294">
        <v>22492.45</v>
      </c>
    </row>
    <row r="323" spans="1:21" hidden="1" x14ac:dyDescent="0.25">
      <c r="A323" s="291">
        <v>474998</v>
      </c>
      <c r="B323" s="290" t="s">
        <v>177</v>
      </c>
      <c r="C323" s="292">
        <v>39588</v>
      </c>
      <c r="D323" s="292">
        <v>39622</v>
      </c>
      <c r="E323" s="290" t="s">
        <v>190</v>
      </c>
      <c r="F323" s="290" t="s">
        <v>252</v>
      </c>
      <c r="G323" s="290" t="s">
        <v>251</v>
      </c>
      <c r="H323" s="290" t="s">
        <v>181</v>
      </c>
      <c r="I323" s="290" t="s">
        <v>182</v>
      </c>
      <c r="J323" s="290" t="s">
        <v>183</v>
      </c>
      <c r="K323" s="290" t="s">
        <v>183</v>
      </c>
      <c r="L323" s="293">
        <v>0</v>
      </c>
      <c r="M323" s="293">
        <v>29.643999999999998</v>
      </c>
      <c r="N323" s="293">
        <v>38.479999999999997</v>
      </c>
      <c r="O323" s="290" t="s">
        <v>184</v>
      </c>
      <c r="P323" s="293">
        <v>345</v>
      </c>
      <c r="Q323" s="294">
        <v>4370.18</v>
      </c>
      <c r="R323" s="294">
        <v>2626.89</v>
      </c>
      <c r="S323" s="294">
        <v>89.59</v>
      </c>
      <c r="T323" s="294">
        <v>0</v>
      </c>
      <c r="U323" s="294">
        <v>7086.66</v>
      </c>
    </row>
    <row r="324" spans="1:21" hidden="1" x14ac:dyDescent="0.25">
      <c r="A324" s="291">
        <v>470191</v>
      </c>
      <c r="B324" s="290" t="s">
        <v>212</v>
      </c>
      <c r="C324" s="292">
        <v>39562</v>
      </c>
      <c r="D324" s="292">
        <v>39568.333333333336</v>
      </c>
      <c r="E324" s="290" t="s">
        <v>240</v>
      </c>
      <c r="F324" s="290" t="s">
        <v>230</v>
      </c>
      <c r="G324" s="290" t="s">
        <v>251</v>
      </c>
      <c r="H324" s="290" t="s">
        <v>181</v>
      </c>
      <c r="I324" s="290" t="s">
        <v>182</v>
      </c>
      <c r="J324" s="290" t="s">
        <v>183</v>
      </c>
      <c r="K324" s="290" t="s">
        <v>183</v>
      </c>
      <c r="L324" s="293">
        <v>0</v>
      </c>
      <c r="M324" s="293">
        <v>0</v>
      </c>
      <c r="N324" s="293">
        <v>28.173999999999999</v>
      </c>
      <c r="O324" s="290" t="s">
        <v>184</v>
      </c>
      <c r="P324" s="293">
        <v>38544</v>
      </c>
      <c r="Q324" s="294">
        <v>406.11</v>
      </c>
      <c r="R324" s="294">
        <v>245.63</v>
      </c>
      <c r="S324" s="294">
        <v>689.09</v>
      </c>
      <c r="T324" s="294">
        <v>0</v>
      </c>
      <c r="U324" s="294">
        <v>1340.83</v>
      </c>
    </row>
    <row r="325" spans="1:21" hidden="1" x14ac:dyDescent="0.25">
      <c r="A325" s="291">
        <v>470191</v>
      </c>
      <c r="B325" s="290" t="s">
        <v>212</v>
      </c>
      <c r="C325" s="292">
        <v>39562</v>
      </c>
      <c r="D325" s="292">
        <v>39568.333333333336</v>
      </c>
      <c r="E325" s="290" t="s">
        <v>240</v>
      </c>
      <c r="F325" s="290" t="s">
        <v>230</v>
      </c>
      <c r="G325" s="290" t="s">
        <v>251</v>
      </c>
      <c r="H325" s="290" t="s">
        <v>181</v>
      </c>
      <c r="I325" s="290" t="s">
        <v>182</v>
      </c>
      <c r="J325" s="290" t="s">
        <v>183</v>
      </c>
      <c r="K325" s="290" t="s">
        <v>183</v>
      </c>
      <c r="L325" s="293">
        <v>0</v>
      </c>
      <c r="M325" s="293">
        <v>29.643999999999998</v>
      </c>
      <c r="N325" s="293">
        <v>38.479999999999997</v>
      </c>
      <c r="O325" s="290" t="s">
        <v>184</v>
      </c>
      <c r="P325" s="293">
        <v>12144</v>
      </c>
      <c r="Q325" s="294">
        <v>127.95</v>
      </c>
      <c r="R325" s="294">
        <v>77.39</v>
      </c>
      <c r="S325" s="294">
        <v>217.11</v>
      </c>
      <c r="T325" s="294">
        <v>0</v>
      </c>
      <c r="U325" s="294">
        <v>422.45</v>
      </c>
    </row>
    <row r="326" spans="1:21" hidden="1" x14ac:dyDescent="0.25">
      <c r="A326" s="291">
        <v>468966</v>
      </c>
      <c r="B326" s="290" t="s">
        <v>185</v>
      </c>
      <c r="C326" s="292">
        <v>39560</v>
      </c>
      <c r="D326" s="292">
        <v>39560.333333333336</v>
      </c>
      <c r="E326" s="290" t="s">
        <v>186</v>
      </c>
      <c r="F326" s="290" t="s">
        <v>192</v>
      </c>
      <c r="G326" s="290" t="s">
        <v>251</v>
      </c>
      <c r="H326" s="290" t="s">
        <v>181</v>
      </c>
      <c r="I326" s="290" t="s">
        <v>182</v>
      </c>
      <c r="J326" s="290" t="s">
        <v>183</v>
      </c>
      <c r="K326" s="290" t="s">
        <v>183</v>
      </c>
      <c r="L326" s="293">
        <v>0</v>
      </c>
      <c r="M326" s="293">
        <v>0</v>
      </c>
      <c r="N326" s="293">
        <v>28.173999999999999</v>
      </c>
      <c r="O326" s="290" t="s">
        <v>184</v>
      </c>
      <c r="P326" s="293">
        <v>21.9</v>
      </c>
      <c r="Q326" s="294">
        <v>298.31</v>
      </c>
      <c r="R326" s="294">
        <v>214.27</v>
      </c>
      <c r="S326" s="294">
        <v>0</v>
      </c>
      <c r="T326" s="294">
        <v>0</v>
      </c>
      <c r="U326" s="294">
        <v>512.58000000000004</v>
      </c>
    </row>
    <row r="327" spans="1:21" hidden="1" x14ac:dyDescent="0.25">
      <c r="A327" s="291">
        <v>468966</v>
      </c>
      <c r="B327" s="290" t="s">
        <v>185</v>
      </c>
      <c r="C327" s="292">
        <v>39560</v>
      </c>
      <c r="D327" s="292">
        <v>39560.333333333336</v>
      </c>
      <c r="E327" s="290" t="s">
        <v>186</v>
      </c>
      <c r="F327" s="290" t="s">
        <v>192</v>
      </c>
      <c r="G327" s="290" t="s">
        <v>251</v>
      </c>
      <c r="H327" s="290" t="s">
        <v>181</v>
      </c>
      <c r="I327" s="290" t="s">
        <v>182</v>
      </c>
      <c r="J327" s="290" t="s">
        <v>183</v>
      </c>
      <c r="K327" s="290" t="s">
        <v>183</v>
      </c>
      <c r="L327" s="293">
        <v>0</v>
      </c>
      <c r="M327" s="293">
        <v>29.643999999999998</v>
      </c>
      <c r="N327" s="293">
        <v>38.479999999999997</v>
      </c>
      <c r="O327" s="290" t="s">
        <v>184</v>
      </c>
      <c r="P327" s="293">
        <v>6.9</v>
      </c>
      <c r="Q327" s="294">
        <v>93.99</v>
      </c>
      <c r="R327" s="294">
        <v>67.510000000000005</v>
      </c>
      <c r="S327" s="294">
        <v>0</v>
      </c>
      <c r="T327" s="294">
        <v>0</v>
      </c>
      <c r="U327" s="294">
        <v>161.5</v>
      </c>
    </row>
    <row r="328" spans="1:21" hidden="1" x14ac:dyDescent="0.25">
      <c r="A328" s="291">
        <v>458778</v>
      </c>
      <c r="B328" s="290" t="s">
        <v>177</v>
      </c>
      <c r="C328" s="292">
        <v>39527</v>
      </c>
      <c r="D328" s="292">
        <v>39533</v>
      </c>
      <c r="E328" s="290" t="s">
        <v>190</v>
      </c>
      <c r="F328" s="290" t="s">
        <v>218</v>
      </c>
      <c r="G328" s="290" t="s">
        <v>251</v>
      </c>
      <c r="H328" s="290" t="s">
        <v>181</v>
      </c>
      <c r="I328" s="290" t="s">
        <v>182</v>
      </c>
      <c r="J328" s="290" t="s">
        <v>183</v>
      </c>
      <c r="K328" s="290" t="s">
        <v>183</v>
      </c>
      <c r="L328" s="293">
        <v>0</v>
      </c>
      <c r="M328" s="293">
        <v>0</v>
      </c>
      <c r="N328" s="293">
        <v>28.173999999999999</v>
      </c>
      <c r="O328" s="290" t="s">
        <v>184</v>
      </c>
      <c r="P328" s="293">
        <v>29.2</v>
      </c>
      <c r="Q328" s="294">
        <v>585.74</v>
      </c>
      <c r="R328" s="294">
        <v>333.96</v>
      </c>
      <c r="S328" s="294">
        <v>592.80999999999995</v>
      </c>
      <c r="T328" s="294">
        <v>0</v>
      </c>
      <c r="U328" s="294">
        <v>1512.51</v>
      </c>
    </row>
    <row r="329" spans="1:21" hidden="1" x14ac:dyDescent="0.25">
      <c r="A329" s="291">
        <v>458778</v>
      </c>
      <c r="B329" s="290" t="s">
        <v>177</v>
      </c>
      <c r="C329" s="292">
        <v>39527</v>
      </c>
      <c r="D329" s="292">
        <v>39533</v>
      </c>
      <c r="E329" s="290" t="s">
        <v>190</v>
      </c>
      <c r="F329" s="290" t="s">
        <v>218</v>
      </c>
      <c r="G329" s="290" t="s">
        <v>251</v>
      </c>
      <c r="H329" s="290" t="s">
        <v>181</v>
      </c>
      <c r="I329" s="290" t="s">
        <v>182</v>
      </c>
      <c r="J329" s="290" t="s">
        <v>183</v>
      </c>
      <c r="K329" s="290" t="s">
        <v>183</v>
      </c>
      <c r="L329" s="293">
        <v>0</v>
      </c>
      <c r="M329" s="293">
        <v>29.643999999999998</v>
      </c>
      <c r="N329" s="293">
        <v>38.479999999999997</v>
      </c>
      <c r="O329" s="290" t="s">
        <v>184</v>
      </c>
      <c r="P329" s="293">
        <v>9.1999999999999993</v>
      </c>
      <c r="Q329" s="294">
        <v>184.55</v>
      </c>
      <c r="R329" s="294">
        <v>105.22</v>
      </c>
      <c r="S329" s="294">
        <v>186.78</v>
      </c>
      <c r="T329" s="294">
        <v>0</v>
      </c>
      <c r="U329" s="294">
        <v>476.54</v>
      </c>
    </row>
    <row r="330" spans="1:21" hidden="1" x14ac:dyDescent="0.25">
      <c r="A330" s="291">
        <v>458298</v>
      </c>
      <c r="B330" s="290" t="s">
        <v>177</v>
      </c>
      <c r="C330" s="292">
        <v>39525</v>
      </c>
      <c r="D330" s="292">
        <v>39533</v>
      </c>
      <c r="E330" s="290" t="s">
        <v>190</v>
      </c>
      <c r="F330" s="290" t="s">
        <v>218</v>
      </c>
      <c r="G330" s="290" t="s">
        <v>251</v>
      </c>
      <c r="H330" s="290" t="s">
        <v>181</v>
      </c>
      <c r="I330" s="290" t="s">
        <v>182</v>
      </c>
      <c r="J330" s="290" t="s">
        <v>183</v>
      </c>
      <c r="K330" s="290" t="s">
        <v>183</v>
      </c>
      <c r="L330" s="293">
        <v>0</v>
      </c>
      <c r="M330" s="293">
        <v>0</v>
      </c>
      <c r="N330" s="293">
        <v>28.173999999999999</v>
      </c>
      <c r="O330" s="290" t="s">
        <v>184</v>
      </c>
      <c r="P330" s="293">
        <v>29.2</v>
      </c>
      <c r="Q330" s="294">
        <v>731.18</v>
      </c>
      <c r="R330" s="294">
        <v>415.72</v>
      </c>
      <c r="S330" s="294">
        <v>551.80999999999995</v>
      </c>
      <c r="T330" s="294">
        <v>0</v>
      </c>
      <c r="U330" s="294">
        <v>1698.72</v>
      </c>
    </row>
    <row r="331" spans="1:21" hidden="1" x14ac:dyDescent="0.25">
      <c r="A331" s="291">
        <v>458298</v>
      </c>
      <c r="B331" s="290" t="s">
        <v>177</v>
      </c>
      <c r="C331" s="292">
        <v>39525</v>
      </c>
      <c r="D331" s="292">
        <v>39533</v>
      </c>
      <c r="E331" s="290" t="s">
        <v>190</v>
      </c>
      <c r="F331" s="290" t="s">
        <v>218</v>
      </c>
      <c r="G331" s="290" t="s">
        <v>251</v>
      </c>
      <c r="H331" s="290" t="s">
        <v>181</v>
      </c>
      <c r="I331" s="290" t="s">
        <v>182</v>
      </c>
      <c r="J331" s="290" t="s">
        <v>183</v>
      </c>
      <c r="K331" s="290" t="s">
        <v>183</v>
      </c>
      <c r="L331" s="293">
        <v>0</v>
      </c>
      <c r="M331" s="293">
        <v>29.643999999999998</v>
      </c>
      <c r="N331" s="293">
        <v>38.479999999999997</v>
      </c>
      <c r="O331" s="290" t="s">
        <v>184</v>
      </c>
      <c r="P331" s="293">
        <v>9.1999999999999993</v>
      </c>
      <c r="Q331" s="294">
        <v>230.37</v>
      </c>
      <c r="R331" s="294">
        <v>130.97999999999999</v>
      </c>
      <c r="S331" s="294">
        <v>173.86</v>
      </c>
      <c r="T331" s="294">
        <v>0</v>
      </c>
      <c r="U331" s="294">
        <v>535.21</v>
      </c>
    </row>
    <row r="332" spans="1:21" hidden="1" x14ac:dyDescent="0.25">
      <c r="A332" s="291">
        <v>456566</v>
      </c>
      <c r="B332" s="290" t="s">
        <v>177</v>
      </c>
      <c r="C332" s="292">
        <v>39520</v>
      </c>
      <c r="D332" s="292">
        <v>39525</v>
      </c>
      <c r="E332" s="290" t="s">
        <v>190</v>
      </c>
      <c r="F332" s="290" t="s">
        <v>218</v>
      </c>
      <c r="G332" s="290" t="s">
        <v>251</v>
      </c>
      <c r="H332" s="290" t="s">
        <v>181</v>
      </c>
      <c r="I332" s="290" t="s">
        <v>182</v>
      </c>
      <c r="J332" s="290" t="s">
        <v>183</v>
      </c>
      <c r="K332" s="290" t="s">
        <v>183</v>
      </c>
      <c r="L332" s="293">
        <v>0</v>
      </c>
      <c r="M332" s="293">
        <v>0</v>
      </c>
      <c r="N332" s="293">
        <v>28.173999999999999</v>
      </c>
      <c r="O332" s="290" t="s">
        <v>184</v>
      </c>
      <c r="P332" s="293">
        <v>29.2</v>
      </c>
      <c r="Q332" s="294">
        <v>721.64</v>
      </c>
      <c r="R332" s="294">
        <v>462.35</v>
      </c>
      <c r="S332" s="294">
        <v>339.04</v>
      </c>
      <c r="T332" s="294">
        <v>0</v>
      </c>
      <c r="U332" s="294">
        <v>1523.03</v>
      </c>
    </row>
    <row r="333" spans="1:21" hidden="1" x14ac:dyDescent="0.25">
      <c r="A333" s="291">
        <v>456566</v>
      </c>
      <c r="B333" s="290" t="s">
        <v>177</v>
      </c>
      <c r="C333" s="292">
        <v>39520</v>
      </c>
      <c r="D333" s="292">
        <v>39525</v>
      </c>
      <c r="E333" s="290" t="s">
        <v>190</v>
      </c>
      <c r="F333" s="290" t="s">
        <v>218</v>
      </c>
      <c r="G333" s="290" t="s">
        <v>251</v>
      </c>
      <c r="H333" s="290" t="s">
        <v>181</v>
      </c>
      <c r="I333" s="290" t="s">
        <v>182</v>
      </c>
      <c r="J333" s="290" t="s">
        <v>183</v>
      </c>
      <c r="K333" s="290" t="s">
        <v>183</v>
      </c>
      <c r="L333" s="293">
        <v>0</v>
      </c>
      <c r="M333" s="293">
        <v>29.643999999999998</v>
      </c>
      <c r="N333" s="293">
        <v>38.479999999999997</v>
      </c>
      <c r="O333" s="290" t="s">
        <v>184</v>
      </c>
      <c r="P333" s="293">
        <v>9.1999999999999993</v>
      </c>
      <c r="Q333" s="294">
        <v>227.37</v>
      </c>
      <c r="R333" s="294">
        <v>145.66999999999999</v>
      </c>
      <c r="S333" s="294">
        <v>106.82</v>
      </c>
      <c r="T333" s="294">
        <v>0</v>
      </c>
      <c r="U333" s="294">
        <v>479.86</v>
      </c>
    </row>
    <row r="334" spans="1:21" hidden="1" x14ac:dyDescent="0.25">
      <c r="A334" s="291">
        <v>456436</v>
      </c>
      <c r="B334" s="290" t="s">
        <v>185</v>
      </c>
      <c r="C334" s="292">
        <v>39519</v>
      </c>
      <c r="D334" s="292">
        <v>39519.333333333336</v>
      </c>
      <c r="E334" s="290" t="s">
        <v>186</v>
      </c>
      <c r="F334" s="290" t="s">
        <v>192</v>
      </c>
      <c r="G334" s="290" t="s">
        <v>251</v>
      </c>
      <c r="H334" s="290" t="s">
        <v>181</v>
      </c>
      <c r="I334" s="290" t="s">
        <v>182</v>
      </c>
      <c r="J334" s="290" t="s">
        <v>183</v>
      </c>
      <c r="K334" s="290" t="s">
        <v>183</v>
      </c>
      <c r="L334" s="293">
        <v>0</v>
      </c>
      <c r="M334" s="293">
        <v>0</v>
      </c>
      <c r="N334" s="293">
        <v>28.173999999999999</v>
      </c>
      <c r="O334" s="290" t="s">
        <v>184</v>
      </c>
      <c r="P334" s="293">
        <v>20.81</v>
      </c>
      <c r="Q334" s="294">
        <v>149.15</v>
      </c>
      <c r="R334" s="294">
        <v>83.48</v>
      </c>
      <c r="S334" s="294">
        <v>0</v>
      </c>
      <c r="T334" s="294">
        <v>0</v>
      </c>
      <c r="U334" s="294">
        <v>232.64</v>
      </c>
    </row>
    <row r="335" spans="1:21" hidden="1" x14ac:dyDescent="0.25">
      <c r="A335" s="291">
        <v>456436</v>
      </c>
      <c r="B335" s="290" t="s">
        <v>185</v>
      </c>
      <c r="C335" s="292">
        <v>39519</v>
      </c>
      <c r="D335" s="292">
        <v>39519.333333333336</v>
      </c>
      <c r="E335" s="290" t="s">
        <v>186</v>
      </c>
      <c r="F335" s="290" t="s">
        <v>192</v>
      </c>
      <c r="G335" s="290" t="s">
        <v>251</v>
      </c>
      <c r="H335" s="290" t="s">
        <v>181</v>
      </c>
      <c r="I335" s="290" t="s">
        <v>182</v>
      </c>
      <c r="J335" s="290" t="s">
        <v>183</v>
      </c>
      <c r="K335" s="290" t="s">
        <v>183</v>
      </c>
      <c r="L335" s="293">
        <v>0</v>
      </c>
      <c r="M335" s="293">
        <v>29.643999999999998</v>
      </c>
      <c r="N335" s="293">
        <v>38.479999999999997</v>
      </c>
      <c r="O335" s="290" t="s">
        <v>184</v>
      </c>
      <c r="P335" s="293">
        <v>6.56</v>
      </c>
      <c r="Q335" s="294">
        <v>46.99</v>
      </c>
      <c r="R335" s="294">
        <v>26.3</v>
      </c>
      <c r="S335" s="294">
        <v>0</v>
      </c>
      <c r="T335" s="294">
        <v>0</v>
      </c>
      <c r="U335" s="294">
        <v>73.3</v>
      </c>
    </row>
    <row r="336" spans="1:21" hidden="1" x14ac:dyDescent="0.25">
      <c r="A336" s="291">
        <v>455917</v>
      </c>
      <c r="B336" s="290" t="s">
        <v>177</v>
      </c>
      <c r="C336" s="292">
        <v>39519</v>
      </c>
      <c r="D336" s="292">
        <v>39521</v>
      </c>
      <c r="E336" s="290" t="s">
        <v>190</v>
      </c>
      <c r="F336" s="290" t="s">
        <v>244</v>
      </c>
      <c r="G336" s="290" t="s">
        <v>251</v>
      </c>
      <c r="H336" s="290" t="s">
        <v>181</v>
      </c>
      <c r="I336" s="290" t="s">
        <v>182</v>
      </c>
      <c r="J336" s="290" t="s">
        <v>183</v>
      </c>
      <c r="K336" s="290" t="s">
        <v>183</v>
      </c>
      <c r="L336" s="293">
        <v>0</v>
      </c>
      <c r="M336" s="293">
        <v>0</v>
      </c>
      <c r="N336" s="293">
        <v>28.173999999999999</v>
      </c>
      <c r="O336" s="290" t="s">
        <v>184</v>
      </c>
      <c r="P336" s="293">
        <v>1.46</v>
      </c>
      <c r="Q336" s="294">
        <v>2092.46</v>
      </c>
      <c r="R336" s="294">
        <v>1234.5899999999999</v>
      </c>
      <c r="S336" s="294">
        <v>0</v>
      </c>
      <c r="T336" s="294">
        <v>0</v>
      </c>
      <c r="U336" s="294">
        <v>3327.05</v>
      </c>
    </row>
    <row r="337" spans="1:21" hidden="1" x14ac:dyDescent="0.25">
      <c r="A337" s="291">
        <v>455917</v>
      </c>
      <c r="B337" s="290" t="s">
        <v>177</v>
      </c>
      <c r="C337" s="292">
        <v>39519</v>
      </c>
      <c r="D337" s="292">
        <v>39521</v>
      </c>
      <c r="E337" s="290" t="s">
        <v>190</v>
      </c>
      <c r="F337" s="290" t="s">
        <v>244</v>
      </c>
      <c r="G337" s="290" t="s">
        <v>251</v>
      </c>
      <c r="H337" s="290" t="s">
        <v>181</v>
      </c>
      <c r="I337" s="290" t="s">
        <v>182</v>
      </c>
      <c r="J337" s="290" t="s">
        <v>183</v>
      </c>
      <c r="K337" s="290" t="s">
        <v>183</v>
      </c>
      <c r="L337" s="293">
        <v>0</v>
      </c>
      <c r="M337" s="293">
        <v>29.643999999999998</v>
      </c>
      <c r="N337" s="293">
        <v>38.479999999999997</v>
      </c>
      <c r="O337" s="290" t="s">
        <v>184</v>
      </c>
      <c r="P337" s="293">
        <v>0.46</v>
      </c>
      <c r="Q337" s="294">
        <v>659.27</v>
      </c>
      <c r="R337" s="294">
        <v>388.98</v>
      </c>
      <c r="S337" s="294">
        <v>0</v>
      </c>
      <c r="T337" s="294">
        <v>0</v>
      </c>
      <c r="U337" s="294">
        <v>1048.25</v>
      </c>
    </row>
    <row r="338" spans="1:21" hidden="1" x14ac:dyDescent="0.25">
      <c r="A338" s="291">
        <v>455892</v>
      </c>
      <c r="B338" s="290" t="s">
        <v>177</v>
      </c>
      <c r="C338" s="292">
        <v>39518</v>
      </c>
      <c r="D338" s="292">
        <v>39521</v>
      </c>
      <c r="E338" s="290" t="s">
        <v>190</v>
      </c>
      <c r="F338" s="290" t="s">
        <v>218</v>
      </c>
      <c r="G338" s="290" t="s">
        <v>251</v>
      </c>
      <c r="H338" s="290" t="s">
        <v>181</v>
      </c>
      <c r="I338" s="290" t="s">
        <v>182</v>
      </c>
      <c r="J338" s="290" t="s">
        <v>183</v>
      </c>
      <c r="K338" s="290" t="s">
        <v>183</v>
      </c>
      <c r="L338" s="293">
        <v>0</v>
      </c>
      <c r="M338" s="293">
        <v>0</v>
      </c>
      <c r="N338" s="293">
        <v>28.173999999999999</v>
      </c>
      <c r="O338" s="290" t="s">
        <v>184</v>
      </c>
      <c r="P338" s="293">
        <v>36.5</v>
      </c>
      <c r="Q338" s="294">
        <v>721.64</v>
      </c>
      <c r="R338" s="294">
        <v>396.28</v>
      </c>
      <c r="S338" s="294">
        <v>359.69</v>
      </c>
      <c r="T338" s="294">
        <v>0</v>
      </c>
      <c r="U338" s="294">
        <v>1477.61</v>
      </c>
    </row>
    <row r="339" spans="1:21" hidden="1" x14ac:dyDescent="0.25">
      <c r="A339" s="291">
        <v>455892</v>
      </c>
      <c r="B339" s="290" t="s">
        <v>177</v>
      </c>
      <c r="C339" s="292">
        <v>39518</v>
      </c>
      <c r="D339" s="292">
        <v>39521</v>
      </c>
      <c r="E339" s="290" t="s">
        <v>190</v>
      </c>
      <c r="F339" s="290" t="s">
        <v>218</v>
      </c>
      <c r="G339" s="290" t="s">
        <v>251</v>
      </c>
      <c r="H339" s="290" t="s">
        <v>181</v>
      </c>
      <c r="I339" s="290" t="s">
        <v>182</v>
      </c>
      <c r="J339" s="290" t="s">
        <v>183</v>
      </c>
      <c r="K339" s="290" t="s">
        <v>183</v>
      </c>
      <c r="L339" s="293">
        <v>0</v>
      </c>
      <c r="M339" s="293">
        <v>29.643999999999998</v>
      </c>
      <c r="N339" s="293">
        <v>38.479999999999997</v>
      </c>
      <c r="O339" s="290" t="s">
        <v>184</v>
      </c>
      <c r="P339" s="293">
        <v>11.5</v>
      </c>
      <c r="Q339" s="294">
        <v>227.37</v>
      </c>
      <c r="R339" s="294">
        <v>124.86</v>
      </c>
      <c r="S339" s="294">
        <v>113.33</v>
      </c>
      <c r="T339" s="294">
        <v>0</v>
      </c>
      <c r="U339" s="294">
        <v>465.55</v>
      </c>
    </row>
    <row r="340" spans="1:21" hidden="1" x14ac:dyDescent="0.25">
      <c r="A340" s="291">
        <v>455239</v>
      </c>
      <c r="B340" s="290" t="s">
        <v>177</v>
      </c>
      <c r="C340" s="292">
        <v>39517</v>
      </c>
      <c r="D340" s="292">
        <v>39525</v>
      </c>
      <c r="E340" s="290" t="s">
        <v>190</v>
      </c>
      <c r="F340" s="290" t="s">
        <v>218</v>
      </c>
      <c r="G340" s="290" t="s">
        <v>251</v>
      </c>
      <c r="H340" s="290" t="s">
        <v>181</v>
      </c>
      <c r="I340" s="290" t="s">
        <v>182</v>
      </c>
      <c r="J340" s="290" t="s">
        <v>183</v>
      </c>
      <c r="K340" s="290" t="s">
        <v>183</v>
      </c>
      <c r="L340" s="293">
        <v>0</v>
      </c>
      <c r="M340" s="293">
        <v>0</v>
      </c>
      <c r="N340" s="293">
        <v>28.173999999999999</v>
      </c>
      <c r="O340" s="290" t="s">
        <v>184</v>
      </c>
      <c r="P340" s="293">
        <v>32.85</v>
      </c>
      <c r="Q340" s="294">
        <v>721.64</v>
      </c>
      <c r="R340" s="294">
        <v>418.44</v>
      </c>
      <c r="S340" s="294">
        <v>408.33</v>
      </c>
      <c r="T340" s="294">
        <v>0</v>
      </c>
      <c r="U340" s="294">
        <v>1548.41</v>
      </c>
    </row>
    <row r="341" spans="1:21" hidden="1" x14ac:dyDescent="0.25">
      <c r="A341" s="291">
        <v>455239</v>
      </c>
      <c r="B341" s="290" t="s">
        <v>177</v>
      </c>
      <c r="C341" s="292">
        <v>39517</v>
      </c>
      <c r="D341" s="292">
        <v>39525</v>
      </c>
      <c r="E341" s="290" t="s">
        <v>190</v>
      </c>
      <c r="F341" s="290" t="s">
        <v>218</v>
      </c>
      <c r="G341" s="290" t="s">
        <v>251</v>
      </c>
      <c r="H341" s="290" t="s">
        <v>181</v>
      </c>
      <c r="I341" s="290" t="s">
        <v>182</v>
      </c>
      <c r="J341" s="290" t="s">
        <v>183</v>
      </c>
      <c r="K341" s="290" t="s">
        <v>183</v>
      </c>
      <c r="L341" s="293">
        <v>0</v>
      </c>
      <c r="M341" s="293">
        <v>29.643999999999998</v>
      </c>
      <c r="N341" s="293">
        <v>38.479999999999997</v>
      </c>
      <c r="O341" s="290" t="s">
        <v>184</v>
      </c>
      <c r="P341" s="293">
        <v>10.35</v>
      </c>
      <c r="Q341" s="294">
        <v>227.37</v>
      </c>
      <c r="R341" s="294">
        <v>131.84</v>
      </c>
      <c r="S341" s="294">
        <v>128.65</v>
      </c>
      <c r="T341" s="294">
        <v>0</v>
      </c>
      <c r="U341" s="294">
        <v>487.86</v>
      </c>
    </row>
    <row r="342" spans="1:21" hidden="1" x14ac:dyDescent="0.25">
      <c r="A342" s="291">
        <v>454608</v>
      </c>
      <c r="B342" s="290" t="s">
        <v>177</v>
      </c>
      <c r="C342" s="292">
        <v>39513</v>
      </c>
      <c r="D342" s="292">
        <v>39518</v>
      </c>
      <c r="E342" s="290" t="s">
        <v>190</v>
      </c>
      <c r="F342" s="290" t="s">
        <v>218</v>
      </c>
      <c r="G342" s="290" t="s">
        <v>251</v>
      </c>
      <c r="H342" s="290" t="s">
        <v>181</v>
      </c>
      <c r="I342" s="290" t="s">
        <v>182</v>
      </c>
      <c r="J342" s="290" t="s">
        <v>183</v>
      </c>
      <c r="K342" s="290" t="s">
        <v>183</v>
      </c>
      <c r="L342" s="293">
        <v>0</v>
      </c>
      <c r="M342" s="293">
        <v>0</v>
      </c>
      <c r="N342" s="293">
        <v>28.173999999999999</v>
      </c>
      <c r="O342" s="290" t="s">
        <v>184</v>
      </c>
      <c r="P342" s="293">
        <v>29.2</v>
      </c>
      <c r="Q342" s="294">
        <v>721.64</v>
      </c>
      <c r="R342" s="294">
        <v>189.87</v>
      </c>
      <c r="S342" s="294">
        <v>379.41</v>
      </c>
      <c r="T342" s="294">
        <v>0</v>
      </c>
      <c r="U342" s="294">
        <v>1290.92</v>
      </c>
    </row>
    <row r="343" spans="1:21" hidden="1" x14ac:dyDescent="0.25">
      <c r="A343" s="291">
        <v>454608</v>
      </c>
      <c r="B343" s="290" t="s">
        <v>177</v>
      </c>
      <c r="C343" s="292">
        <v>39513</v>
      </c>
      <c r="D343" s="292">
        <v>39518</v>
      </c>
      <c r="E343" s="290" t="s">
        <v>190</v>
      </c>
      <c r="F343" s="290" t="s">
        <v>218</v>
      </c>
      <c r="G343" s="290" t="s">
        <v>251</v>
      </c>
      <c r="H343" s="290" t="s">
        <v>181</v>
      </c>
      <c r="I343" s="290" t="s">
        <v>182</v>
      </c>
      <c r="J343" s="290" t="s">
        <v>183</v>
      </c>
      <c r="K343" s="290" t="s">
        <v>183</v>
      </c>
      <c r="L343" s="293">
        <v>0</v>
      </c>
      <c r="M343" s="293">
        <v>29.643999999999998</v>
      </c>
      <c r="N343" s="293">
        <v>38.479999999999997</v>
      </c>
      <c r="O343" s="290" t="s">
        <v>184</v>
      </c>
      <c r="P343" s="293">
        <v>9.1999999999999993</v>
      </c>
      <c r="Q343" s="294">
        <v>227.37</v>
      </c>
      <c r="R343" s="294">
        <v>59.82</v>
      </c>
      <c r="S343" s="294">
        <v>119.54</v>
      </c>
      <c r="T343" s="294">
        <v>0</v>
      </c>
      <c r="U343" s="294">
        <v>406.73</v>
      </c>
    </row>
    <row r="344" spans="1:21" hidden="1" x14ac:dyDescent="0.25">
      <c r="A344" s="291">
        <v>450225</v>
      </c>
      <c r="B344" s="290" t="s">
        <v>177</v>
      </c>
      <c r="C344" s="292">
        <v>39499</v>
      </c>
      <c r="D344" s="292">
        <v>39505</v>
      </c>
      <c r="E344" s="290" t="s">
        <v>190</v>
      </c>
      <c r="F344" s="290" t="s">
        <v>218</v>
      </c>
      <c r="G344" s="290" t="s">
        <v>251</v>
      </c>
      <c r="H344" s="290" t="s">
        <v>181</v>
      </c>
      <c r="I344" s="290" t="s">
        <v>182</v>
      </c>
      <c r="J344" s="290" t="s">
        <v>183</v>
      </c>
      <c r="K344" s="290" t="s">
        <v>183</v>
      </c>
      <c r="L344" s="293">
        <v>0</v>
      </c>
      <c r="M344" s="293">
        <v>0</v>
      </c>
      <c r="N344" s="293">
        <v>28.173999999999999</v>
      </c>
      <c r="O344" s="290" t="s">
        <v>184</v>
      </c>
      <c r="P344" s="293">
        <v>29.2</v>
      </c>
      <c r="Q344" s="294">
        <v>1293.8800000000001</v>
      </c>
      <c r="R344" s="294">
        <v>404.24</v>
      </c>
      <c r="S344" s="294">
        <v>342.07</v>
      </c>
      <c r="T344" s="294">
        <v>0</v>
      </c>
      <c r="U344" s="294">
        <v>2040.2</v>
      </c>
    </row>
    <row r="345" spans="1:21" hidden="1" x14ac:dyDescent="0.25">
      <c r="A345" s="291">
        <v>450225</v>
      </c>
      <c r="B345" s="290" t="s">
        <v>177</v>
      </c>
      <c r="C345" s="292">
        <v>39499</v>
      </c>
      <c r="D345" s="292">
        <v>39505</v>
      </c>
      <c r="E345" s="290" t="s">
        <v>190</v>
      </c>
      <c r="F345" s="290" t="s">
        <v>218</v>
      </c>
      <c r="G345" s="290" t="s">
        <v>251</v>
      </c>
      <c r="H345" s="290" t="s">
        <v>181</v>
      </c>
      <c r="I345" s="290" t="s">
        <v>182</v>
      </c>
      <c r="J345" s="290" t="s">
        <v>183</v>
      </c>
      <c r="K345" s="290" t="s">
        <v>183</v>
      </c>
      <c r="L345" s="293">
        <v>0</v>
      </c>
      <c r="M345" s="293">
        <v>29.643999999999998</v>
      </c>
      <c r="N345" s="293">
        <v>38.479999999999997</v>
      </c>
      <c r="O345" s="290" t="s">
        <v>184</v>
      </c>
      <c r="P345" s="293">
        <v>9.1999999999999993</v>
      </c>
      <c r="Q345" s="294">
        <v>407.66</v>
      </c>
      <c r="R345" s="294">
        <v>127.36</v>
      </c>
      <c r="S345" s="294">
        <v>107.78</v>
      </c>
      <c r="T345" s="294">
        <v>0</v>
      </c>
      <c r="U345" s="294">
        <v>642.79999999999995</v>
      </c>
    </row>
    <row r="346" spans="1:21" hidden="1" x14ac:dyDescent="0.25">
      <c r="A346" s="291">
        <v>449393</v>
      </c>
      <c r="B346" s="290" t="s">
        <v>177</v>
      </c>
      <c r="C346" s="292">
        <v>39498</v>
      </c>
      <c r="D346" s="292">
        <v>39505</v>
      </c>
      <c r="E346" s="290" t="s">
        <v>190</v>
      </c>
      <c r="F346" s="290" t="s">
        <v>218</v>
      </c>
      <c r="G346" s="290" t="s">
        <v>251</v>
      </c>
      <c r="H346" s="290" t="s">
        <v>181</v>
      </c>
      <c r="I346" s="290" t="s">
        <v>182</v>
      </c>
      <c r="J346" s="290" t="s">
        <v>183</v>
      </c>
      <c r="K346" s="290" t="s">
        <v>183</v>
      </c>
      <c r="L346" s="293">
        <v>0</v>
      </c>
      <c r="M346" s="293">
        <v>0</v>
      </c>
      <c r="N346" s="293">
        <v>28.173999999999999</v>
      </c>
      <c r="O346" s="290" t="s">
        <v>184</v>
      </c>
      <c r="P346" s="293">
        <v>29.2</v>
      </c>
      <c r="Q346" s="294">
        <v>442.53</v>
      </c>
      <c r="R346" s="294">
        <v>202.12</v>
      </c>
      <c r="S346" s="294">
        <v>443.42</v>
      </c>
      <c r="T346" s="294">
        <v>0</v>
      </c>
      <c r="U346" s="294">
        <v>1088.07</v>
      </c>
    </row>
    <row r="347" spans="1:21" hidden="1" x14ac:dyDescent="0.25">
      <c r="A347" s="291">
        <v>449393</v>
      </c>
      <c r="B347" s="290" t="s">
        <v>177</v>
      </c>
      <c r="C347" s="292">
        <v>39498</v>
      </c>
      <c r="D347" s="292">
        <v>39505</v>
      </c>
      <c r="E347" s="290" t="s">
        <v>190</v>
      </c>
      <c r="F347" s="290" t="s">
        <v>218</v>
      </c>
      <c r="G347" s="290" t="s">
        <v>251</v>
      </c>
      <c r="H347" s="290" t="s">
        <v>181</v>
      </c>
      <c r="I347" s="290" t="s">
        <v>182</v>
      </c>
      <c r="J347" s="290" t="s">
        <v>183</v>
      </c>
      <c r="K347" s="290" t="s">
        <v>183</v>
      </c>
      <c r="L347" s="293">
        <v>0</v>
      </c>
      <c r="M347" s="293">
        <v>29.643999999999998</v>
      </c>
      <c r="N347" s="293">
        <v>38.479999999999997</v>
      </c>
      <c r="O347" s="290" t="s">
        <v>184</v>
      </c>
      <c r="P347" s="293">
        <v>9.1999999999999993</v>
      </c>
      <c r="Q347" s="294">
        <v>139.43</v>
      </c>
      <c r="R347" s="294">
        <v>63.68</v>
      </c>
      <c r="S347" s="294">
        <v>139.71</v>
      </c>
      <c r="T347" s="294">
        <v>0</v>
      </c>
      <c r="U347" s="294">
        <v>342.82</v>
      </c>
    </row>
    <row r="348" spans="1:21" hidden="1" x14ac:dyDescent="0.25">
      <c r="A348" s="291">
        <v>449367</v>
      </c>
      <c r="B348" s="290" t="s">
        <v>177</v>
      </c>
      <c r="C348" s="292">
        <v>39498</v>
      </c>
      <c r="D348" s="292">
        <v>39504</v>
      </c>
      <c r="E348" s="290" t="s">
        <v>190</v>
      </c>
      <c r="F348" s="290" t="s">
        <v>218</v>
      </c>
      <c r="G348" s="290" t="s">
        <v>251</v>
      </c>
      <c r="H348" s="290" t="s">
        <v>181</v>
      </c>
      <c r="I348" s="290" t="s">
        <v>182</v>
      </c>
      <c r="J348" s="290" t="s">
        <v>183</v>
      </c>
      <c r="K348" s="290" t="s">
        <v>183</v>
      </c>
      <c r="L348" s="293">
        <v>0</v>
      </c>
      <c r="M348" s="293">
        <v>0</v>
      </c>
      <c r="N348" s="293">
        <v>28.173999999999999</v>
      </c>
      <c r="O348" s="290" t="s">
        <v>184</v>
      </c>
      <c r="P348" s="293">
        <v>36.5</v>
      </c>
      <c r="Q348" s="294">
        <v>577.30999999999995</v>
      </c>
      <c r="R348" s="294">
        <v>202.12</v>
      </c>
      <c r="S348" s="294">
        <v>353.2</v>
      </c>
      <c r="T348" s="294">
        <v>0</v>
      </c>
      <c r="U348" s="294">
        <v>1132.6300000000001</v>
      </c>
    </row>
    <row r="349" spans="1:21" hidden="1" x14ac:dyDescent="0.25">
      <c r="A349" s="291">
        <v>449367</v>
      </c>
      <c r="B349" s="290" t="s">
        <v>177</v>
      </c>
      <c r="C349" s="292">
        <v>39498</v>
      </c>
      <c r="D349" s="292">
        <v>39504</v>
      </c>
      <c r="E349" s="290" t="s">
        <v>190</v>
      </c>
      <c r="F349" s="290" t="s">
        <v>218</v>
      </c>
      <c r="G349" s="290" t="s">
        <v>251</v>
      </c>
      <c r="H349" s="290" t="s">
        <v>181</v>
      </c>
      <c r="I349" s="290" t="s">
        <v>182</v>
      </c>
      <c r="J349" s="290" t="s">
        <v>183</v>
      </c>
      <c r="K349" s="290" t="s">
        <v>183</v>
      </c>
      <c r="L349" s="293">
        <v>0</v>
      </c>
      <c r="M349" s="293">
        <v>29.643999999999998</v>
      </c>
      <c r="N349" s="293">
        <v>38.479999999999997</v>
      </c>
      <c r="O349" s="290" t="s">
        <v>184</v>
      </c>
      <c r="P349" s="293">
        <v>11.5</v>
      </c>
      <c r="Q349" s="294">
        <v>181.89</v>
      </c>
      <c r="R349" s="294">
        <v>63.68</v>
      </c>
      <c r="S349" s="294">
        <v>111.28</v>
      </c>
      <c r="T349" s="294">
        <v>0</v>
      </c>
      <c r="U349" s="294">
        <v>356.86</v>
      </c>
    </row>
    <row r="350" spans="1:21" hidden="1" x14ac:dyDescent="0.25">
      <c r="A350" s="291">
        <v>449353</v>
      </c>
      <c r="B350" s="290" t="s">
        <v>177</v>
      </c>
      <c r="C350" s="292">
        <v>39497</v>
      </c>
      <c r="D350" s="292">
        <v>39505</v>
      </c>
      <c r="E350" s="290" t="s">
        <v>190</v>
      </c>
      <c r="F350" s="290" t="s">
        <v>218</v>
      </c>
      <c r="G350" s="290" t="s">
        <v>251</v>
      </c>
      <c r="H350" s="290" t="s">
        <v>181</v>
      </c>
      <c r="I350" s="290" t="s">
        <v>182</v>
      </c>
      <c r="J350" s="290" t="s">
        <v>183</v>
      </c>
      <c r="K350" s="290" t="s">
        <v>183</v>
      </c>
      <c r="L350" s="293">
        <v>0</v>
      </c>
      <c r="M350" s="293">
        <v>0</v>
      </c>
      <c r="N350" s="293">
        <v>28.173999999999999</v>
      </c>
      <c r="O350" s="290" t="s">
        <v>184</v>
      </c>
      <c r="P350" s="293">
        <v>36.5</v>
      </c>
      <c r="Q350" s="294">
        <v>826.08</v>
      </c>
      <c r="R350" s="294">
        <v>404.24</v>
      </c>
      <c r="S350" s="294">
        <v>423.87</v>
      </c>
      <c r="T350" s="294">
        <v>0</v>
      </c>
      <c r="U350" s="294">
        <v>1654.19</v>
      </c>
    </row>
    <row r="351" spans="1:21" hidden="1" x14ac:dyDescent="0.25">
      <c r="A351" s="291">
        <v>449353</v>
      </c>
      <c r="B351" s="290" t="s">
        <v>177</v>
      </c>
      <c r="C351" s="292">
        <v>39497</v>
      </c>
      <c r="D351" s="292">
        <v>39505</v>
      </c>
      <c r="E351" s="290" t="s">
        <v>190</v>
      </c>
      <c r="F351" s="290" t="s">
        <v>218</v>
      </c>
      <c r="G351" s="290" t="s">
        <v>251</v>
      </c>
      <c r="H351" s="290" t="s">
        <v>181</v>
      </c>
      <c r="I351" s="290" t="s">
        <v>182</v>
      </c>
      <c r="J351" s="290" t="s">
        <v>183</v>
      </c>
      <c r="K351" s="290" t="s">
        <v>183</v>
      </c>
      <c r="L351" s="293">
        <v>0</v>
      </c>
      <c r="M351" s="293">
        <v>29.643999999999998</v>
      </c>
      <c r="N351" s="293">
        <v>38.479999999999997</v>
      </c>
      <c r="O351" s="290" t="s">
        <v>184</v>
      </c>
      <c r="P351" s="293">
        <v>11.5</v>
      </c>
      <c r="Q351" s="294">
        <v>260.27</v>
      </c>
      <c r="R351" s="294">
        <v>127.36</v>
      </c>
      <c r="S351" s="294">
        <v>133.55000000000001</v>
      </c>
      <c r="T351" s="294">
        <v>0</v>
      </c>
      <c r="U351" s="294">
        <v>521.17999999999995</v>
      </c>
    </row>
    <row r="352" spans="1:21" hidden="1" x14ac:dyDescent="0.25">
      <c r="A352" s="291">
        <v>446014</v>
      </c>
      <c r="B352" s="290" t="s">
        <v>177</v>
      </c>
      <c r="C352" s="292">
        <v>39484</v>
      </c>
      <c r="D352" s="292">
        <v>39484.333333333336</v>
      </c>
      <c r="E352" s="290" t="s">
        <v>190</v>
      </c>
      <c r="F352" s="290" t="s">
        <v>243</v>
      </c>
      <c r="G352" s="290" t="s">
        <v>251</v>
      </c>
      <c r="H352" s="290" t="s">
        <v>181</v>
      </c>
      <c r="I352" s="290" t="s">
        <v>182</v>
      </c>
      <c r="J352" s="290" t="s">
        <v>183</v>
      </c>
      <c r="K352" s="290" t="s">
        <v>183</v>
      </c>
      <c r="L352" s="293">
        <v>0</v>
      </c>
      <c r="M352" s="293">
        <v>0</v>
      </c>
      <c r="N352" s="293">
        <v>28.173999999999999</v>
      </c>
      <c r="O352" s="290" t="s">
        <v>184</v>
      </c>
      <c r="P352" s="293">
        <v>39.42</v>
      </c>
      <c r="Q352" s="294">
        <v>909.81</v>
      </c>
      <c r="R352" s="294">
        <v>0</v>
      </c>
      <c r="S352" s="294">
        <v>0</v>
      </c>
      <c r="T352" s="294">
        <v>0</v>
      </c>
      <c r="U352" s="294">
        <v>909.81</v>
      </c>
    </row>
    <row r="353" spans="1:21" hidden="1" x14ac:dyDescent="0.25">
      <c r="A353" s="291">
        <v>446014</v>
      </c>
      <c r="B353" s="290" t="s">
        <v>177</v>
      </c>
      <c r="C353" s="292">
        <v>39484</v>
      </c>
      <c r="D353" s="292">
        <v>39484.333333333336</v>
      </c>
      <c r="E353" s="290" t="s">
        <v>190</v>
      </c>
      <c r="F353" s="290" t="s">
        <v>243</v>
      </c>
      <c r="G353" s="290" t="s">
        <v>251</v>
      </c>
      <c r="H353" s="290" t="s">
        <v>181</v>
      </c>
      <c r="I353" s="290" t="s">
        <v>182</v>
      </c>
      <c r="J353" s="290" t="s">
        <v>183</v>
      </c>
      <c r="K353" s="290" t="s">
        <v>183</v>
      </c>
      <c r="L353" s="293">
        <v>0</v>
      </c>
      <c r="M353" s="293">
        <v>29.643999999999998</v>
      </c>
      <c r="N353" s="293">
        <v>38.479999999999997</v>
      </c>
      <c r="O353" s="290" t="s">
        <v>184</v>
      </c>
      <c r="P353" s="293">
        <v>12.42</v>
      </c>
      <c r="Q353" s="294">
        <v>286.64999999999998</v>
      </c>
      <c r="R353" s="294">
        <v>0</v>
      </c>
      <c r="S353" s="294">
        <v>0</v>
      </c>
      <c r="T353" s="294">
        <v>0</v>
      </c>
      <c r="U353" s="294">
        <v>286.64999999999998</v>
      </c>
    </row>
    <row r="354" spans="1:21" hidden="1" x14ac:dyDescent="0.25">
      <c r="A354" s="291">
        <v>444684</v>
      </c>
      <c r="B354" s="290" t="s">
        <v>185</v>
      </c>
      <c r="C354" s="292">
        <v>39478</v>
      </c>
      <c r="D354" s="292">
        <v>39478.333333333336</v>
      </c>
      <c r="E354" s="290" t="s">
        <v>186</v>
      </c>
      <c r="F354" s="290" t="s">
        <v>192</v>
      </c>
      <c r="G354" s="290" t="s">
        <v>251</v>
      </c>
      <c r="H354" s="290" t="s">
        <v>181</v>
      </c>
      <c r="I354" s="290" t="s">
        <v>182</v>
      </c>
      <c r="J354" s="290" t="s">
        <v>183</v>
      </c>
      <c r="K354" s="290" t="s">
        <v>183</v>
      </c>
      <c r="L354" s="293">
        <v>0</v>
      </c>
      <c r="M354" s="293">
        <v>0</v>
      </c>
      <c r="N354" s="293">
        <v>28.173999999999999</v>
      </c>
      <c r="O354" s="290" t="s">
        <v>184</v>
      </c>
      <c r="P354" s="293">
        <v>4.5599999999999996</v>
      </c>
      <c r="Q354" s="294">
        <v>37.29</v>
      </c>
      <c r="R354" s="294">
        <v>20.87</v>
      </c>
      <c r="S354" s="294">
        <v>0</v>
      </c>
      <c r="T354" s="294">
        <v>0</v>
      </c>
      <c r="U354" s="294">
        <v>58.16</v>
      </c>
    </row>
    <row r="355" spans="1:21" hidden="1" x14ac:dyDescent="0.25">
      <c r="A355" s="291">
        <v>444684</v>
      </c>
      <c r="B355" s="290" t="s">
        <v>185</v>
      </c>
      <c r="C355" s="292">
        <v>39478</v>
      </c>
      <c r="D355" s="292">
        <v>39478.333333333336</v>
      </c>
      <c r="E355" s="290" t="s">
        <v>186</v>
      </c>
      <c r="F355" s="290" t="s">
        <v>192</v>
      </c>
      <c r="G355" s="290" t="s">
        <v>251</v>
      </c>
      <c r="H355" s="290" t="s">
        <v>181</v>
      </c>
      <c r="I355" s="290" t="s">
        <v>182</v>
      </c>
      <c r="J355" s="290" t="s">
        <v>183</v>
      </c>
      <c r="K355" s="290" t="s">
        <v>183</v>
      </c>
      <c r="L355" s="293">
        <v>0</v>
      </c>
      <c r="M355" s="293">
        <v>29.643999999999998</v>
      </c>
      <c r="N355" s="293">
        <v>38.479999999999997</v>
      </c>
      <c r="O355" s="290" t="s">
        <v>184</v>
      </c>
      <c r="P355" s="293">
        <v>1.44</v>
      </c>
      <c r="Q355" s="294">
        <v>11.75</v>
      </c>
      <c r="R355" s="294">
        <v>6.58</v>
      </c>
      <c r="S355" s="294">
        <v>0</v>
      </c>
      <c r="T355" s="294">
        <v>0</v>
      </c>
      <c r="U355" s="294">
        <v>18.32</v>
      </c>
    </row>
    <row r="356" spans="1:21" hidden="1" x14ac:dyDescent="0.25">
      <c r="A356" s="291">
        <v>444683</v>
      </c>
      <c r="B356" s="290" t="s">
        <v>185</v>
      </c>
      <c r="C356" s="292">
        <v>39478</v>
      </c>
      <c r="D356" s="292">
        <v>39478.333333333336</v>
      </c>
      <c r="E356" s="290" t="s">
        <v>186</v>
      </c>
      <c r="F356" s="290" t="s">
        <v>192</v>
      </c>
      <c r="G356" s="290" t="s">
        <v>251</v>
      </c>
      <c r="H356" s="290" t="s">
        <v>181</v>
      </c>
      <c r="I356" s="290" t="s">
        <v>182</v>
      </c>
      <c r="J356" s="290" t="s">
        <v>183</v>
      </c>
      <c r="K356" s="290" t="s">
        <v>183</v>
      </c>
      <c r="L356" s="293">
        <v>0</v>
      </c>
      <c r="M356" s="293">
        <v>0</v>
      </c>
      <c r="N356" s="293">
        <v>28.173999999999999</v>
      </c>
      <c r="O356" s="290" t="s">
        <v>184</v>
      </c>
      <c r="P356" s="293">
        <v>4.5599999999999996</v>
      </c>
      <c r="Q356" s="294">
        <v>74.58</v>
      </c>
      <c r="R356" s="294">
        <v>41.74</v>
      </c>
      <c r="S356" s="294">
        <v>0</v>
      </c>
      <c r="T356" s="294">
        <v>0</v>
      </c>
      <c r="U356" s="294">
        <v>116.32</v>
      </c>
    </row>
    <row r="357" spans="1:21" hidden="1" x14ac:dyDescent="0.25">
      <c r="A357" s="291">
        <v>444683</v>
      </c>
      <c r="B357" s="290" t="s">
        <v>185</v>
      </c>
      <c r="C357" s="292">
        <v>39478</v>
      </c>
      <c r="D357" s="292">
        <v>39478.333333333336</v>
      </c>
      <c r="E357" s="290" t="s">
        <v>186</v>
      </c>
      <c r="F357" s="290" t="s">
        <v>192</v>
      </c>
      <c r="G357" s="290" t="s">
        <v>251</v>
      </c>
      <c r="H357" s="290" t="s">
        <v>181</v>
      </c>
      <c r="I357" s="290" t="s">
        <v>182</v>
      </c>
      <c r="J357" s="290" t="s">
        <v>183</v>
      </c>
      <c r="K357" s="290" t="s">
        <v>183</v>
      </c>
      <c r="L357" s="293">
        <v>0</v>
      </c>
      <c r="M357" s="293">
        <v>29.643999999999998</v>
      </c>
      <c r="N357" s="293">
        <v>38.479999999999997</v>
      </c>
      <c r="O357" s="290" t="s">
        <v>184</v>
      </c>
      <c r="P357" s="293">
        <v>1.44</v>
      </c>
      <c r="Q357" s="294">
        <v>23.5</v>
      </c>
      <c r="R357" s="294">
        <v>13.15</v>
      </c>
      <c r="S357" s="294">
        <v>0</v>
      </c>
      <c r="T357" s="294">
        <v>0</v>
      </c>
      <c r="U357" s="294">
        <v>36.65</v>
      </c>
    </row>
    <row r="358" spans="1:21" hidden="1" x14ac:dyDescent="0.25">
      <c r="A358" s="291">
        <v>439395</v>
      </c>
      <c r="B358" s="290" t="s">
        <v>177</v>
      </c>
      <c r="C358" s="292">
        <v>39455</v>
      </c>
      <c r="D358" s="292">
        <v>39455.333333333336</v>
      </c>
      <c r="E358" s="290" t="s">
        <v>190</v>
      </c>
      <c r="F358" s="290" t="s">
        <v>204</v>
      </c>
      <c r="G358" s="290" t="s">
        <v>251</v>
      </c>
      <c r="H358" s="290" t="s">
        <v>181</v>
      </c>
      <c r="I358" s="290" t="s">
        <v>182</v>
      </c>
      <c r="J358" s="290" t="s">
        <v>183</v>
      </c>
      <c r="K358" s="290" t="s">
        <v>183</v>
      </c>
      <c r="L358" s="293">
        <v>0</v>
      </c>
      <c r="M358" s="293">
        <v>0</v>
      </c>
      <c r="N358" s="293">
        <v>28.173999999999999</v>
      </c>
      <c r="O358" s="290" t="s">
        <v>184</v>
      </c>
      <c r="P358" s="293">
        <v>6.57</v>
      </c>
      <c r="Q358" s="294">
        <v>800.71</v>
      </c>
      <c r="R358" s="294">
        <v>227.18</v>
      </c>
      <c r="S358" s="294">
        <v>0</v>
      </c>
      <c r="T358" s="294">
        <v>0</v>
      </c>
      <c r="U358" s="294">
        <v>1027.8800000000001</v>
      </c>
    </row>
    <row r="359" spans="1:21" hidden="1" x14ac:dyDescent="0.25">
      <c r="A359" s="291">
        <v>439395</v>
      </c>
      <c r="B359" s="290" t="s">
        <v>177</v>
      </c>
      <c r="C359" s="292">
        <v>39455</v>
      </c>
      <c r="D359" s="292">
        <v>39455.333333333336</v>
      </c>
      <c r="E359" s="290" t="s">
        <v>190</v>
      </c>
      <c r="F359" s="290" t="s">
        <v>204</v>
      </c>
      <c r="G359" s="290" t="s">
        <v>251</v>
      </c>
      <c r="H359" s="290" t="s">
        <v>181</v>
      </c>
      <c r="I359" s="290" t="s">
        <v>182</v>
      </c>
      <c r="J359" s="290" t="s">
        <v>183</v>
      </c>
      <c r="K359" s="290" t="s">
        <v>183</v>
      </c>
      <c r="L359" s="293">
        <v>0</v>
      </c>
      <c r="M359" s="293">
        <v>29.643999999999998</v>
      </c>
      <c r="N359" s="293">
        <v>38.479999999999997</v>
      </c>
      <c r="O359" s="290" t="s">
        <v>184</v>
      </c>
      <c r="P359" s="293">
        <v>2.0699999999999998</v>
      </c>
      <c r="Q359" s="294">
        <v>252.28</v>
      </c>
      <c r="R359" s="294">
        <v>71.58</v>
      </c>
      <c r="S359" s="294">
        <v>0</v>
      </c>
      <c r="T359" s="294">
        <v>0</v>
      </c>
      <c r="U359" s="294">
        <v>323.85000000000002</v>
      </c>
    </row>
    <row r="360" spans="1:21" hidden="1" x14ac:dyDescent="0.25">
      <c r="A360" s="291">
        <v>438798</v>
      </c>
      <c r="B360" s="290" t="s">
        <v>185</v>
      </c>
      <c r="C360" s="292">
        <v>39456</v>
      </c>
      <c r="D360" s="292">
        <v>39456.333333333336</v>
      </c>
      <c r="E360" s="290" t="s">
        <v>186</v>
      </c>
      <c r="F360" s="290" t="s">
        <v>253</v>
      </c>
      <c r="G360" s="290" t="s">
        <v>251</v>
      </c>
      <c r="H360" s="290" t="s">
        <v>181</v>
      </c>
      <c r="I360" s="290" t="s">
        <v>182</v>
      </c>
      <c r="J360" s="290" t="s">
        <v>183</v>
      </c>
      <c r="K360" s="290" t="s">
        <v>183</v>
      </c>
      <c r="L360" s="293">
        <v>0</v>
      </c>
      <c r="M360" s="293">
        <v>0</v>
      </c>
      <c r="N360" s="293">
        <v>28.173999999999999</v>
      </c>
      <c r="O360" s="290" t="s">
        <v>184</v>
      </c>
      <c r="P360" s="293">
        <v>7.3</v>
      </c>
      <c r="Q360" s="294">
        <v>183.23</v>
      </c>
      <c r="R360" s="294">
        <v>47.41</v>
      </c>
      <c r="S360" s="294">
        <v>0</v>
      </c>
      <c r="T360" s="294">
        <v>0</v>
      </c>
      <c r="U360" s="294">
        <v>230.64</v>
      </c>
    </row>
    <row r="361" spans="1:21" hidden="1" x14ac:dyDescent="0.25">
      <c r="A361" s="291">
        <v>438798</v>
      </c>
      <c r="B361" s="290" t="s">
        <v>185</v>
      </c>
      <c r="C361" s="292">
        <v>39456</v>
      </c>
      <c r="D361" s="292">
        <v>39456.333333333336</v>
      </c>
      <c r="E361" s="290" t="s">
        <v>186</v>
      </c>
      <c r="F361" s="290" t="s">
        <v>253</v>
      </c>
      <c r="G361" s="290" t="s">
        <v>251</v>
      </c>
      <c r="H361" s="290" t="s">
        <v>181</v>
      </c>
      <c r="I361" s="290" t="s">
        <v>182</v>
      </c>
      <c r="J361" s="290" t="s">
        <v>183</v>
      </c>
      <c r="K361" s="290" t="s">
        <v>183</v>
      </c>
      <c r="L361" s="293">
        <v>0</v>
      </c>
      <c r="M361" s="293">
        <v>29.643999999999998</v>
      </c>
      <c r="N361" s="293">
        <v>38.479999999999997</v>
      </c>
      <c r="O361" s="290" t="s">
        <v>184</v>
      </c>
      <c r="P361" s="293">
        <v>2.2999999999999998</v>
      </c>
      <c r="Q361" s="294">
        <v>57.73</v>
      </c>
      <c r="R361" s="294">
        <v>14.94</v>
      </c>
      <c r="S361" s="294">
        <v>0</v>
      </c>
      <c r="T361" s="294">
        <v>0</v>
      </c>
      <c r="U361" s="294">
        <v>72.67</v>
      </c>
    </row>
    <row r="362" spans="1:21" hidden="1" x14ac:dyDescent="0.25">
      <c r="A362" s="291">
        <v>438681</v>
      </c>
      <c r="B362" s="290" t="s">
        <v>185</v>
      </c>
      <c r="C362" s="292">
        <v>39455</v>
      </c>
      <c r="D362" s="292">
        <v>39455.333333333336</v>
      </c>
      <c r="E362" s="290" t="s">
        <v>186</v>
      </c>
      <c r="F362" s="290" t="s">
        <v>192</v>
      </c>
      <c r="G362" s="290" t="s">
        <v>251</v>
      </c>
      <c r="H362" s="290" t="s">
        <v>181</v>
      </c>
      <c r="I362" s="290" t="s">
        <v>182</v>
      </c>
      <c r="J362" s="290" t="s">
        <v>183</v>
      </c>
      <c r="K362" s="290" t="s">
        <v>183</v>
      </c>
      <c r="L362" s="293">
        <v>0</v>
      </c>
      <c r="M362" s="293">
        <v>0</v>
      </c>
      <c r="N362" s="293">
        <v>28.173999999999999</v>
      </c>
      <c r="O362" s="290" t="s">
        <v>184</v>
      </c>
      <c r="P362" s="293">
        <v>23.36</v>
      </c>
      <c r="Q362" s="294">
        <v>109.94</v>
      </c>
      <c r="R362" s="294">
        <v>28.45</v>
      </c>
      <c r="S362" s="294">
        <v>0</v>
      </c>
      <c r="T362" s="294">
        <v>0</v>
      </c>
      <c r="U362" s="294">
        <v>138.38999999999999</v>
      </c>
    </row>
    <row r="363" spans="1:21" hidden="1" x14ac:dyDescent="0.25">
      <c r="A363" s="291">
        <v>438681</v>
      </c>
      <c r="B363" s="290" t="s">
        <v>185</v>
      </c>
      <c r="C363" s="292">
        <v>39455</v>
      </c>
      <c r="D363" s="292">
        <v>39455.333333333336</v>
      </c>
      <c r="E363" s="290" t="s">
        <v>186</v>
      </c>
      <c r="F363" s="290" t="s">
        <v>192</v>
      </c>
      <c r="G363" s="290" t="s">
        <v>251</v>
      </c>
      <c r="H363" s="290" t="s">
        <v>181</v>
      </c>
      <c r="I363" s="290" t="s">
        <v>182</v>
      </c>
      <c r="J363" s="290" t="s">
        <v>183</v>
      </c>
      <c r="K363" s="290" t="s">
        <v>183</v>
      </c>
      <c r="L363" s="293">
        <v>0</v>
      </c>
      <c r="M363" s="293">
        <v>29.643999999999998</v>
      </c>
      <c r="N363" s="293">
        <v>38.479999999999997</v>
      </c>
      <c r="O363" s="290" t="s">
        <v>184</v>
      </c>
      <c r="P363" s="293">
        <v>7.36</v>
      </c>
      <c r="Q363" s="294">
        <v>34.64</v>
      </c>
      <c r="R363" s="294">
        <v>8.9600000000000009</v>
      </c>
      <c r="S363" s="294">
        <v>0</v>
      </c>
      <c r="T363" s="294">
        <v>0</v>
      </c>
      <c r="U363" s="294">
        <v>43.6</v>
      </c>
    </row>
    <row r="364" spans="1:21" hidden="1" x14ac:dyDescent="0.25">
      <c r="A364" s="291">
        <v>438023</v>
      </c>
      <c r="B364" s="290" t="s">
        <v>185</v>
      </c>
      <c r="C364" s="292">
        <v>39455</v>
      </c>
      <c r="D364" s="292">
        <v>39455.333333333336</v>
      </c>
      <c r="E364" s="290" t="s">
        <v>186</v>
      </c>
      <c r="F364" s="290" t="s">
        <v>253</v>
      </c>
      <c r="G364" s="290" t="s">
        <v>251</v>
      </c>
      <c r="H364" s="290" t="s">
        <v>181</v>
      </c>
      <c r="I364" s="290" t="s">
        <v>182</v>
      </c>
      <c r="J364" s="290" t="s">
        <v>183</v>
      </c>
      <c r="K364" s="290" t="s">
        <v>183</v>
      </c>
      <c r="L364" s="293">
        <v>0</v>
      </c>
      <c r="M364" s="293">
        <v>0</v>
      </c>
      <c r="N364" s="293">
        <v>28.173999999999999</v>
      </c>
      <c r="O364" s="290" t="s">
        <v>184</v>
      </c>
      <c r="P364" s="293">
        <v>0</v>
      </c>
      <c r="Q364" s="294">
        <v>0</v>
      </c>
      <c r="R364" s="294">
        <v>0</v>
      </c>
      <c r="S364" s="294">
        <v>0</v>
      </c>
      <c r="T364" s="294">
        <v>0</v>
      </c>
      <c r="U364" s="294">
        <v>0</v>
      </c>
    </row>
    <row r="365" spans="1:21" hidden="1" x14ac:dyDescent="0.25">
      <c r="A365" s="291">
        <v>438023</v>
      </c>
      <c r="B365" s="290" t="s">
        <v>185</v>
      </c>
      <c r="C365" s="292">
        <v>39455</v>
      </c>
      <c r="D365" s="292">
        <v>39455.333333333336</v>
      </c>
      <c r="E365" s="290" t="s">
        <v>186</v>
      </c>
      <c r="F365" s="290" t="s">
        <v>253</v>
      </c>
      <c r="G365" s="290" t="s">
        <v>251</v>
      </c>
      <c r="H365" s="290" t="s">
        <v>181</v>
      </c>
      <c r="I365" s="290" t="s">
        <v>182</v>
      </c>
      <c r="J365" s="290" t="s">
        <v>183</v>
      </c>
      <c r="K365" s="290" t="s">
        <v>183</v>
      </c>
      <c r="L365" s="293">
        <v>0</v>
      </c>
      <c r="M365" s="293">
        <v>29.643999999999998</v>
      </c>
      <c r="N365" s="293">
        <v>38.479999999999997</v>
      </c>
      <c r="O365" s="290" t="s">
        <v>184</v>
      </c>
      <c r="P365" s="293">
        <v>0</v>
      </c>
      <c r="Q365" s="294">
        <v>0</v>
      </c>
      <c r="R365" s="294">
        <v>0</v>
      </c>
      <c r="S365" s="294">
        <v>0</v>
      </c>
      <c r="T365" s="294">
        <v>0</v>
      </c>
      <c r="U365" s="294">
        <v>0</v>
      </c>
    </row>
    <row r="366" spans="1:21" hidden="1" x14ac:dyDescent="0.25">
      <c r="A366" s="291">
        <v>423808</v>
      </c>
      <c r="B366" s="290" t="s">
        <v>212</v>
      </c>
      <c r="C366" s="292">
        <v>39499</v>
      </c>
      <c r="D366" s="292">
        <v>39582.333333333336</v>
      </c>
      <c r="E366" s="290" t="s">
        <v>240</v>
      </c>
      <c r="F366" s="290" t="s">
        <v>246</v>
      </c>
      <c r="G366" s="290" t="s">
        <v>251</v>
      </c>
      <c r="H366" s="290" t="s">
        <v>181</v>
      </c>
      <c r="I366" s="290" t="s">
        <v>182</v>
      </c>
      <c r="J366" s="290" t="s">
        <v>183</v>
      </c>
      <c r="K366" s="290" t="s">
        <v>183</v>
      </c>
      <c r="L366" s="293">
        <v>0</v>
      </c>
      <c r="M366" s="293">
        <v>0</v>
      </c>
      <c r="N366" s="293">
        <v>28.173999999999999</v>
      </c>
      <c r="O366" s="290" t="s">
        <v>184</v>
      </c>
      <c r="P366" s="293">
        <v>11826</v>
      </c>
      <c r="Q366" s="294">
        <v>609.16999999999996</v>
      </c>
      <c r="R366" s="294">
        <v>361.73</v>
      </c>
      <c r="S366" s="294">
        <v>142.34</v>
      </c>
      <c r="T366" s="294">
        <v>0</v>
      </c>
      <c r="U366" s="294">
        <v>1113.24</v>
      </c>
    </row>
    <row r="367" spans="1:21" hidden="1" x14ac:dyDescent="0.25">
      <c r="A367" s="291">
        <v>423808</v>
      </c>
      <c r="B367" s="290" t="s">
        <v>212</v>
      </c>
      <c r="C367" s="292">
        <v>39499</v>
      </c>
      <c r="D367" s="292">
        <v>39582.333333333336</v>
      </c>
      <c r="E367" s="290" t="s">
        <v>240</v>
      </c>
      <c r="F367" s="290" t="s">
        <v>246</v>
      </c>
      <c r="G367" s="290" t="s">
        <v>251</v>
      </c>
      <c r="H367" s="290" t="s">
        <v>181</v>
      </c>
      <c r="I367" s="290" t="s">
        <v>182</v>
      </c>
      <c r="J367" s="290" t="s">
        <v>183</v>
      </c>
      <c r="K367" s="290" t="s">
        <v>183</v>
      </c>
      <c r="L367" s="293">
        <v>0</v>
      </c>
      <c r="M367" s="293">
        <v>29.643999999999998</v>
      </c>
      <c r="N367" s="293">
        <v>38.479999999999997</v>
      </c>
      <c r="O367" s="290" t="s">
        <v>184</v>
      </c>
      <c r="P367" s="293">
        <v>3726</v>
      </c>
      <c r="Q367" s="294">
        <v>191.93</v>
      </c>
      <c r="R367" s="294">
        <v>113.97</v>
      </c>
      <c r="S367" s="294">
        <v>44.85</v>
      </c>
      <c r="T367" s="294">
        <v>0</v>
      </c>
      <c r="U367" s="294">
        <v>350.75</v>
      </c>
    </row>
    <row r="368" spans="1:21" hidden="1" x14ac:dyDescent="0.25">
      <c r="A368" s="291">
        <v>423591</v>
      </c>
      <c r="B368" s="290" t="s">
        <v>212</v>
      </c>
      <c r="C368" s="292">
        <v>39393</v>
      </c>
      <c r="D368" s="292">
        <v>39629.333333333336</v>
      </c>
      <c r="E368" s="290" t="s">
        <v>240</v>
      </c>
      <c r="F368" s="290" t="s">
        <v>246</v>
      </c>
      <c r="G368" s="290" t="s">
        <v>251</v>
      </c>
      <c r="H368" s="290" t="s">
        <v>181</v>
      </c>
      <c r="I368" s="290" t="s">
        <v>182</v>
      </c>
      <c r="J368" s="290" t="s">
        <v>183</v>
      </c>
      <c r="K368" s="290" t="s">
        <v>183</v>
      </c>
      <c r="L368" s="293">
        <v>0</v>
      </c>
      <c r="M368" s="293">
        <v>0</v>
      </c>
      <c r="N368" s="293">
        <v>28.173999999999999</v>
      </c>
      <c r="O368" s="290" t="s">
        <v>184</v>
      </c>
      <c r="P368" s="293">
        <v>0</v>
      </c>
      <c r="Q368" s="294">
        <v>0</v>
      </c>
      <c r="R368" s="294">
        <v>0</v>
      </c>
      <c r="S368" s="294">
        <v>0</v>
      </c>
      <c r="T368" s="294">
        <v>0</v>
      </c>
      <c r="U368" s="294">
        <v>0</v>
      </c>
    </row>
    <row r="369" spans="1:21" hidden="1" x14ac:dyDescent="0.25">
      <c r="A369" s="291">
        <v>423591</v>
      </c>
      <c r="B369" s="290" t="s">
        <v>212</v>
      </c>
      <c r="C369" s="292">
        <v>39393</v>
      </c>
      <c r="D369" s="292">
        <v>39629.333333333336</v>
      </c>
      <c r="E369" s="290" t="s">
        <v>240</v>
      </c>
      <c r="F369" s="290" t="s">
        <v>246</v>
      </c>
      <c r="G369" s="290" t="s">
        <v>251</v>
      </c>
      <c r="H369" s="290" t="s">
        <v>181</v>
      </c>
      <c r="I369" s="290" t="s">
        <v>182</v>
      </c>
      <c r="J369" s="290" t="s">
        <v>183</v>
      </c>
      <c r="K369" s="290" t="s">
        <v>183</v>
      </c>
      <c r="L369" s="293">
        <v>0</v>
      </c>
      <c r="M369" s="293">
        <v>29.643999999999998</v>
      </c>
      <c r="N369" s="293">
        <v>38.479999999999997</v>
      </c>
      <c r="O369" s="290" t="s">
        <v>184</v>
      </c>
      <c r="P369" s="293">
        <v>0</v>
      </c>
      <c r="Q369" s="294">
        <v>0</v>
      </c>
      <c r="R369" s="294">
        <v>0</v>
      </c>
      <c r="S369" s="294">
        <v>0</v>
      </c>
      <c r="T369" s="294">
        <v>0</v>
      </c>
      <c r="U369" s="294">
        <v>0</v>
      </c>
    </row>
    <row r="370" spans="1:21" hidden="1" x14ac:dyDescent="0.25">
      <c r="A370" s="291">
        <v>422054</v>
      </c>
      <c r="B370" s="290" t="s">
        <v>185</v>
      </c>
      <c r="C370" s="292">
        <v>39386</v>
      </c>
      <c r="D370" s="292">
        <v>39386.333333333336</v>
      </c>
      <c r="E370" s="290" t="s">
        <v>186</v>
      </c>
      <c r="F370" s="290" t="s">
        <v>254</v>
      </c>
      <c r="G370" s="290" t="s">
        <v>251</v>
      </c>
      <c r="H370" s="290" t="s">
        <v>181</v>
      </c>
      <c r="I370" s="290" t="s">
        <v>182</v>
      </c>
      <c r="J370" s="290" t="s">
        <v>183</v>
      </c>
      <c r="K370" s="290" t="s">
        <v>183</v>
      </c>
      <c r="L370" s="293">
        <v>0</v>
      </c>
      <c r="M370" s="293">
        <v>0</v>
      </c>
      <c r="N370" s="293">
        <v>28.173999999999999</v>
      </c>
      <c r="O370" s="290" t="s">
        <v>184</v>
      </c>
      <c r="P370" s="293">
        <v>0</v>
      </c>
      <c r="Q370" s="294">
        <v>155.75</v>
      </c>
      <c r="R370" s="294">
        <v>20.56</v>
      </c>
      <c r="S370" s="294">
        <v>0</v>
      </c>
      <c r="T370" s="294">
        <v>0</v>
      </c>
      <c r="U370" s="294">
        <v>176.3</v>
      </c>
    </row>
    <row r="371" spans="1:21" hidden="1" x14ac:dyDescent="0.25">
      <c r="A371" s="291">
        <v>422054</v>
      </c>
      <c r="B371" s="290" t="s">
        <v>185</v>
      </c>
      <c r="C371" s="292">
        <v>39386</v>
      </c>
      <c r="D371" s="292">
        <v>39386.333333333336</v>
      </c>
      <c r="E371" s="290" t="s">
        <v>186</v>
      </c>
      <c r="F371" s="290" t="s">
        <v>254</v>
      </c>
      <c r="G371" s="290" t="s">
        <v>251</v>
      </c>
      <c r="H371" s="290" t="s">
        <v>181</v>
      </c>
      <c r="I371" s="290" t="s">
        <v>182</v>
      </c>
      <c r="J371" s="290" t="s">
        <v>183</v>
      </c>
      <c r="K371" s="290" t="s">
        <v>183</v>
      </c>
      <c r="L371" s="293">
        <v>0</v>
      </c>
      <c r="M371" s="293">
        <v>29.643999999999998</v>
      </c>
      <c r="N371" s="293">
        <v>38.479999999999997</v>
      </c>
      <c r="O371" s="290" t="s">
        <v>184</v>
      </c>
      <c r="P371" s="293">
        <v>0</v>
      </c>
      <c r="Q371" s="294">
        <v>49.07</v>
      </c>
      <c r="R371" s="294">
        <v>6.48</v>
      </c>
      <c r="S371" s="294">
        <v>0</v>
      </c>
      <c r="T371" s="294">
        <v>0</v>
      </c>
      <c r="U371" s="294">
        <v>55.55</v>
      </c>
    </row>
    <row r="372" spans="1:21" hidden="1" x14ac:dyDescent="0.25">
      <c r="A372" s="291">
        <v>421798</v>
      </c>
      <c r="B372" s="290" t="s">
        <v>177</v>
      </c>
      <c r="C372" s="292">
        <v>39386</v>
      </c>
      <c r="D372" s="292">
        <v>39388.333333333336</v>
      </c>
      <c r="E372" s="290" t="s">
        <v>190</v>
      </c>
      <c r="F372" s="290" t="s">
        <v>255</v>
      </c>
      <c r="G372" s="290" t="s">
        <v>251</v>
      </c>
      <c r="H372" s="290" t="s">
        <v>181</v>
      </c>
      <c r="I372" s="290" t="s">
        <v>182</v>
      </c>
      <c r="J372" s="290" t="s">
        <v>183</v>
      </c>
      <c r="K372" s="290" t="s">
        <v>183</v>
      </c>
      <c r="L372" s="293">
        <v>0</v>
      </c>
      <c r="M372" s="293">
        <v>0</v>
      </c>
      <c r="N372" s="293">
        <v>28.173999999999999</v>
      </c>
      <c r="O372" s="290" t="s">
        <v>184</v>
      </c>
      <c r="P372" s="293">
        <v>1606</v>
      </c>
      <c r="Q372" s="294">
        <v>2441.7600000000002</v>
      </c>
      <c r="R372" s="294">
        <v>0</v>
      </c>
      <c r="S372" s="294">
        <v>0</v>
      </c>
      <c r="T372" s="294">
        <v>0</v>
      </c>
      <c r="U372" s="294">
        <v>2441.7600000000002</v>
      </c>
    </row>
    <row r="373" spans="1:21" hidden="1" x14ac:dyDescent="0.25">
      <c r="A373" s="291">
        <v>421798</v>
      </c>
      <c r="B373" s="290" t="s">
        <v>177</v>
      </c>
      <c r="C373" s="292">
        <v>39386</v>
      </c>
      <c r="D373" s="292">
        <v>39388.333333333336</v>
      </c>
      <c r="E373" s="290" t="s">
        <v>190</v>
      </c>
      <c r="F373" s="290" t="s">
        <v>255</v>
      </c>
      <c r="G373" s="290" t="s">
        <v>251</v>
      </c>
      <c r="H373" s="290" t="s">
        <v>181</v>
      </c>
      <c r="I373" s="290" t="s">
        <v>182</v>
      </c>
      <c r="J373" s="290" t="s">
        <v>183</v>
      </c>
      <c r="K373" s="290" t="s">
        <v>183</v>
      </c>
      <c r="L373" s="293">
        <v>0</v>
      </c>
      <c r="M373" s="293">
        <v>29.643999999999998</v>
      </c>
      <c r="N373" s="293">
        <v>38.479999999999997</v>
      </c>
      <c r="O373" s="290" t="s">
        <v>184</v>
      </c>
      <c r="P373" s="293">
        <v>506</v>
      </c>
      <c r="Q373" s="294">
        <v>769.32</v>
      </c>
      <c r="R373" s="294">
        <v>0</v>
      </c>
      <c r="S373" s="294">
        <v>0</v>
      </c>
      <c r="T373" s="294">
        <v>0</v>
      </c>
      <c r="U373" s="294">
        <v>769.32</v>
      </c>
    </row>
    <row r="374" spans="1:21" hidden="1" x14ac:dyDescent="0.25">
      <c r="A374" s="291">
        <v>414535</v>
      </c>
      <c r="B374" s="290" t="s">
        <v>185</v>
      </c>
      <c r="C374" s="292">
        <v>39364</v>
      </c>
      <c r="D374" s="292">
        <v>39364.333333333336</v>
      </c>
      <c r="E374" s="290" t="s">
        <v>186</v>
      </c>
      <c r="F374" s="290" t="s">
        <v>256</v>
      </c>
      <c r="G374" s="290" t="s">
        <v>251</v>
      </c>
      <c r="H374" s="290" t="s">
        <v>181</v>
      </c>
      <c r="I374" s="290" t="s">
        <v>182</v>
      </c>
      <c r="J374" s="290" t="s">
        <v>183</v>
      </c>
      <c r="K374" s="290" t="s">
        <v>183</v>
      </c>
      <c r="L374" s="293">
        <v>0</v>
      </c>
      <c r="M374" s="293">
        <v>0</v>
      </c>
      <c r="N374" s="293">
        <v>28.173999999999999</v>
      </c>
      <c r="O374" s="290" t="s">
        <v>184</v>
      </c>
      <c r="P374" s="293">
        <v>4.0199999999999996</v>
      </c>
      <c r="Q374" s="294">
        <v>36.65</v>
      </c>
      <c r="R374" s="294">
        <v>9.48</v>
      </c>
      <c r="S374" s="294">
        <v>0</v>
      </c>
      <c r="T374" s="294">
        <v>0</v>
      </c>
      <c r="U374" s="294">
        <v>46.13</v>
      </c>
    </row>
    <row r="375" spans="1:21" hidden="1" x14ac:dyDescent="0.25">
      <c r="A375" s="291">
        <v>414535</v>
      </c>
      <c r="B375" s="290" t="s">
        <v>185</v>
      </c>
      <c r="C375" s="292">
        <v>39364</v>
      </c>
      <c r="D375" s="292">
        <v>39364.333333333336</v>
      </c>
      <c r="E375" s="290" t="s">
        <v>186</v>
      </c>
      <c r="F375" s="290" t="s">
        <v>256</v>
      </c>
      <c r="G375" s="290" t="s">
        <v>251</v>
      </c>
      <c r="H375" s="290" t="s">
        <v>181</v>
      </c>
      <c r="I375" s="290" t="s">
        <v>182</v>
      </c>
      <c r="J375" s="290" t="s">
        <v>183</v>
      </c>
      <c r="K375" s="290" t="s">
        <v>183</v>
      </c>
      <c r="L375" s="293">
        <v>0</v>
      </c>
      <c r="M375" s="293">
        <v>29.643999999999998</v>
      </c>
      <c r="N375" s="293">
        <v>38.479999999999997</v>
      </c>
      <c r="O375" s="290" t="s">
        <v>184</v>
      </c>
      <c r="P375" s="293">
        <v>1.27</v>
      </c>
      <c r="Q375" s="294">
        <v>11.55</v>
      </c>
      <c r="R375" s="294">
        <v>2.99</v>
      </c>
      <c r="S375" s="294">
        <v>0</v>
      </c>
      <c r="T375" s="294">
        <v>0</v>
      </c>
      <c r="U375" s="294">
        <v>14.53</v>
      </c>
    </row>
    <row r="376" spans="1:21" hidden="1" x14ac:dyDescent="0.25">
      <c r="A376" s="291">
        <v>411825</v>
      </c>
      <c r="B376" s="290" t="s">
        <v>185</v>
      </c>
      <c r="C376" s="292">
        <v>39356</v>
      </c>
      <c r="D376" s="292">
        <v>39356.333333333336</v>
      </c>
      <c r="E376" s="290" t="s">
        <v>186</v>
      </c>
      <c r="F376" s="290" t="s">
        <v>254</v>
      </c>
      <c r="G376" s="290" t="s">
        <v>251</v>
      </c>
      <c r="H376" s="290" t="s">
        <v>181</v>
      </c>
      <c r="I376" s="290" t="s">
        <v>182</v>
      </c>
      <c r="J376" s="290" t="s">
        <v>183</v>
      </c>
      <c r="K376" s="290" t="s">
        <v>183</v>
      </c>
      <c r="L376" s="293">
        <v>0</v>
      </c>
      <c r="M376" s="293">
        <v>0</v>
      </c>
      <c r="N376" s="293">
        <v>28.173999999999999</v>
      </c>
      <c r="O376" s="290" t="s">
        <v>184</v>
      </c>
      <c r="P376" s="293">
        <v>8.76</v>
      </c>
      <c r="Q376" s="294">
        <v>67.77</v>
      </c>
      <c r="R376" s="294">
        <v>18.97</v>
      </c>
      <c r="S376" s="294">
        <v>0</v>
      </c>
      <c r="T376" s="294">
        <v>0</v>
      </c>
      <c r="U376" s="294">
        <v>86.74</v>
      </c>
    </row>
    <row r="377" spans="1:21" hidden="1" x14ac:dyDescent="0.25">
      <c r="A377" s="291">
        <v>411825</v>
      </c>
      <c r="B377" s="290" t="s">
        <v>185</v>
      </c>
      <c r="C377" s="292">
        <v>39356</v>
      </c>
      <c r="D377" s="292">
        <v>39356.333333333336</v>
      </c>
      <c r="E377" s="290" t="s">
        <v>186</v>
      </c>
      <c r="F377" s="290" t="s">
        <v>254</v>
      </c>
      <c r="G377" s="290" t="s">
        <v>251</v>
      </c>
      <c r="H377" s="290" t="s">
        <v>181</v>
      </c>
      <c r="I377" s="290" t="s">
        <v>182</v>
      </c>
      <c r="J377" s="290" t="s">
        <v>183</v>
      </c>
      <c r="K377" s="290" t="s">
        <v>183</v>
      </c>
      <c r="L377" s="293">
        <v>0</v>
      </c>
      <c r="M377" s="293">
        <v>29.643999999999998</v>
      </c>
      <c r="N377" s="293">
        <v>38.479999999999997</v>
      </c>
      <c r="O377" s="290" t="s">
        <v>184</v>
      </c>
      <c r="P377" s="293">
        <v>2.76</v>
      </c>
      <c r="Q377" s="294">
        <v>21.35</v>
      </c>
      <c r="R377" s="294">
        <v>5.98</v>
      </c>
      <c r="S377" s="294">
        <v>0</v>
      </c>
      <c r="T377" s="294">
        <v>0</v>
      </c>
      <c r="U377" s="294">
        <v>27.33</v>
      </c>
    </row>
    <row r="378" spans="1:21" hidden="1" x14ac:dyDescent="0.25">
      <c r="A378" s="291">
        <v>409715</v>
      </c>
      <c r="B378" s="290" t="s">
        <v>177</v>
      </c>
      <c r="C378" s="292">
        <v>39342</v>
      </c>
      <c r="D378" s="292">
        <v>39343.333333333336</v>
      </c>
      <c r="E378" s="290" t="s">
        <v>190</v>
      </c>
      <c r="F378" s="290" t="s">
        <v>257</v>
      </c>
      <c r="G378" s="290" t="s">
        <v>251</v>
      </c>
      <c r="H378" s="290" t="s">
        <v>181</v>
      </c>
      <c r="I378" s="290" t="s">
        <v>182</v>
      </c>
      <c r="J378" s="290" t="s">
        <v>183</v>
      </c>
      <c r="K378" s="290" t="s">
        <v>183</v>
      </c>
      <c r="L378" s="293">
        <v>0</v>
      </c>
      <c r="M378" s="293">
        <v>0</v>
      </c>
      <c r="N378" s="293">
        <v>28.173999999999999</v>
      </c>
      <c r="O378" s="290" t="s">
        <v>184</v>
      </c>
      <c r="P378" s="293">
        <v>0</v>
      </c>
      <c r="Q378" s="294">
        <v>1099.03</v>
      </c>
      <c r="R378" s="294">
        <v>112.13</v>
      </c>
      <c r="S378" s="294">
        <v>0</v>
      </c>
      <c r="T378" s="294">
        <v>0</v>
      </c>
      <c r="U378" s="294">
        <v>1211.1600000000001</v>
      </c>
    </row>
    <row r="379" spans="1:21" hidden="1" x14ac:dyDescent="0.25">
      <c r="A379" s="291">
        <v>409715</v>
      </c>
      <c r="B379" s="290" t="s">
        <v>177</v>
      </c>
      <c r="C379" s="292">
        <v>39342</v>
      </c>
      <c r="D379" s="292">
        <v>39343.333333333336</v>
      </c>
      <c r="E379" s="290" t="s">
        <v>190</v>
      </c>
      <c r="F379" s="290" t="s">
        <v>257</v>
      </c>
      <c r="G379" s="290" t="s">
        <v>251</v>
      </c>
      <c r="H379" s="290" t="s">
        <v>181</v>
      </c>
      <c r="I379" s="290" t="s">
        <v>182</v>
      </c>
      <c r="J379" s="290" t="s">
        <v>183</v>
      </c>
      <c r="K379" s="290" t="s">
        <v>183</v>
      </c>
      <c r="L379" s="293">
        <v>0</v>
      </c>
      <c r="M379" s="293">
        <v>29.643999999999998</v>
      </c>
      <c r="N379" s="293">
        <v>38.479999999999997</v>
      </c>
      <c r="O379" s="290" t="s">
        <v>184</v>
      </c>
      <c r="P379" s="293">
        <v>0</v>
      </c>
      <c r="Q379" s="294">
        <v>346.27</v>
      </c>
      <c r="R379" s="294">
        <v>35.33</v>
      </c>
      <c r="S379" s="294">
        <v>0</v>
      </c>
      <c r="T379" s="294">
        <v>0</v>
      </c>
      <c r="U379" s="294">
        <v>381.6</v>
      </c>
    </row>
    <row r="380" spans="1:21" hidden="1" x14ac:dyDescent="0.25">
      <c r="A380" s="291">
        <v>409208</v>
      </c>
      <c r="B380" s="290" t="s">
        <v>185</v>
      </c>
      <c r="C380" s="292">
        <v>39349</v>
      </c>
      <c r="D380" s="292">
        <v>39349.333333333336</v>
      </c>
      <c r="E380" s="290" t="s">
        <v>258</v>
      </c>
      <c r="F380" s="290" t="s">
        <v>259</v>
      </c>
      <c r="G380" s="290" t="s">
        <v>251</v>
      </c>
      <c r="H380" s="290" t="s">
        <v>260</v>
      </c>
      <c r="I380" s="290" t="s">
        <v>182</v>
      </c>
      <c r="J380" s="290" t="s">
        <v>183</v>
      </c>
      <c r="K380" s="290" t="s">
        <v>183</v>
      </c>
      <c r="L380" s="293">
        <v>0</v>
      </c>
      <c r="M380" s="293">
        <v>0</v>
      </c>
      <c r="N380" s="293">
        <v>28.173999999999999</v>
      </c>
      <c r="O380" s="290" t="s">
        <v>184</v>
      </c>
      <c r="P380" s="293">
        <v>0.73</v>
      </c>
      <c r="Q380" s="294">
        <v>17.38</v>
      </c>
      <c r="R380" s="294">
        <v>13.43</v>
      </c>
      <c r="S380" s="294">
        <v>0</v>
      </c>
      <c r="T380" s="294">
        <v>0</v>
      </c>
      <c r="U380" s="294">
        <v>30.81</v>
      </c>
    </row>
    <row r="381" spans="1:21" hidden="1" x14ac:dyDescent="0.25">
      <c r="A381" s="291">
        <v>409208</v>
      </c>
      <c r="B381" s="290" t="s">
        <v>185</v>
      </c>
      <c r="C381" s="292">
        <v>39349</v>
      </c>
      <c r="D381" s="292">
        <v>39349.333333333336</v>
      </c>
      <c r="E381" s="290" t="s">
        <v>258</v>
      </c>
      <c r="F381" s="290" t="s">
        <v>259</v>
      </c>
      <c r="G381" s="290" t="s">
        <v>251</v>
      </c>
      <c r="H381" s="290" t="s">
        <v>260</v>
      </c>
      <c r="I381" s="290" t="s">
        <v>182</v>
      </c>
      <c r="J381" s="290" t="s">
        <v>183</v>
      </c>
      <c r="K381" s="290" t="s">
        <v>183</v>
      </c>
      <c r="L381" s="293">
        <v>0</v>
      </c>
      <c r="M381" s="293">
        <v>29.643999999999998</v>
      </c>
      <c r="N381" s="293">
        <v>38.479999999999997</v>
      </c>
      <c r="O381" s="290" t="s">
        <v>184</v>
      </c>
      <c r="P381" s="293">
        <v>0.23</v>
      </c>
      <c r="Q381" s="294">
        <v>5.48</v>
      </c>
      <c r="R381" s="294">
        <v>4.2300000000000004</v>
      </c>
      <c r="S381" s="294">
        <v>0</v>
      </c>
      <c r="T381" s="294">
        <v>0</v>
      </c>
      <c r="U381" s="294">
        <v>9.7100000000000009</v>
      </c>
    </row>
    <row r="382" spans="1:21" hidden="1" x14ac:dyDescent="0.25">
      <c r="A382" s="291">
        <v>409207</v>
      </c>
      <c r="B382" s="290" t="s">
        <v>185</v>
      </c>
      <c r="C382" s="292">
        <v>39349</v>
      </c>
      <c r="D382" s="292">
        <v>39349.333333333336</v>
      </c>
      <c r="E382" s="290" t="s">
        <v>258</v>
      </c>
      <c r="F382" s="290" t="s">
        <v>259</v>
      </c>
      <c r="G382" s="290" t="s">
        <v>251</v>
      </c>
      <c r="H382" s="290" t="s">
        <v>260</v>
      </c>
      <c r="I382" s="290" t="s">
        <v>182</v>
      </c>
      <c r="J382" s="290" t="s">
        <v>183</v>
      </c>
      <c r="K382" s="290" t="s">
        <v>183</v>
      </c>
      <c r="L382" s="293">
        <v>0</v>
      </c>
      <c r="M382" s="293">
        <v>0</v>
      </c>
      <c r="N382" s="293">
        <v>28.173999999999999</v>
      </c>
      <c r="O382" s="290" t="s">
        <v>184</v>
      </c>
      <c r="P382" s="293">
        <v>0.73</v>
      </c>
      <c r="Q382" s="294">
        <v>17.38</v>
      </c>
      <c r="R382" s="294">
        <v>13.43</v>
      </c>
      <c r="S382" s="294">
        <v>0</v>
      </c>
      <c r="T382" s="294">
        <v>0</v>
      </c>
      <c r="U382" s="294">
        <v>30.81</v>
      </c>
    </row>
    <row r="383" spans="1:21" hidden="1" x14ac:dyDescent="0.25">
      <c r="A383" s="291">
        <v>409207</v>
      </c>
      <c r="B383" s="290" t="s">
        <v>185</v>
      </c>
      <c r="C383" s="292">
        <v>39349</v>
      </c>
      <c r="D383" s="292">
        <v>39349.333333333336</v>
      </c>
      <c r="E383" s="290" t="s">
        <v>258</v>
      </c>
      <c r="F383" s="290" t="s">
        <v>259</v>
      </c>
      <c r="G383" s="290" t="s">
        <v>251</v>
      </c>
      <c r="H383" s="290" t="s">
        <v>260</v>
      </c>
      <c r="I383" s="290" t="s">
        <v>182</v>
      </c>
      <c r="J383" s="290" t="s">
        <v>183</v>
      </c>
      <c r="K383" s="290" t="s">
        <v>183</v>
      </c>
      <c r="L383" s="293">
        <v>0</v>
      </c>
      <c r="M383" s="293">
        <v>29.643999999999998</v>
      </c>
      <c r="N383" s="293">
        <v>38.479999999999997</v>
      </c>
      <c r="O383" s="290" t="s">
        <v>184</v>
      </c>
      <c r="P383" s="293">
        <v>0.23</v>
      </c>
      <c r="Q383" s="294">
        <v>5.48</v>
      </c>
      <c r="R383" s="294">
        <v>4.2300000000000004</v>
      </c>
      <c r="S383" s="294">
        <v>0</v>
      </c>
      <c r="T383" s="294">
        <v>0</v>
      </c>
      <c r="U383" s="294">
        <v>9.7100000000000009</v>
      </c>
    </row>
    <row r="384" spans="1:21" hidden="1" x14ac:dyDescent="0.25">
      <c r="A384" s="291">
        <v>408902</v>
      </c>
      <c r="B384" s="290" t="s">
        <v>177</v>
      </c>
      <c r="C384" s="292">
        <v>39349</v>
      </c>
      <c r="D384" s="292">
        <v>39391</v>
      </c>
      <c r="E384" s="290" t="s">
        <v>190</v>
      </c>
      <c r="F384" s="290" t="s">
        <v>261</v>
      </c>
      <c r="G384" s="290" t="s">
        <v>251</v>
      </c>
      <c r="H384" s="290" t="s">
        <v>181</v>
      </c>
      <c r="I384" s="290" t="s">
        <v>182</v>
      </c>
      <c r="J384" s="290" t="s">
        <v>183</v>
      </c>
      <c r="K384" s="290" t="s">
        <v>183</v>
      </c>
      <c r="L384" s="293">
        <v>0</v>
      </c>
      <c r="M384" s="293">
        <v>0</v>
      </c>
      <c r="N384" s="293">
        <v>28.173999999999999</v>
      </c>
      <c r="O384" s="290" t="s">
        <v>184</v>
      </c>
      <c r="P384" s="293">
        <v>15877.5</v>
      </c>
      <c r="Q384" s="294">
        <v>15511.43</v>
      </c>
      <c r="R384" s="294">
        <v>11163.34</v>
      </c>
      <c r="S384" s="294">
        <v>15408.94</v>
      </c>
      <c r="T384" s="294">
        <v>0</v>
      </c>
      <c r="U384" s="294">
        <v>42083.7</v>
      </c>
    </row>
    <row r="385" spans="1:21" hidden="1" x14ac:dyDescent="0.25">
      <c r="A385" s="291">
        <v>408902</v>
      </c>
      <c r="B385" s="290" t="s">
        <v>177</v>
      </c>
      <c r="C385" s="292">
        <v>39349</v>
      </c>
      <c r="D385" s="292">
        <v>39391</v>
      </c>
      <c r="E385" s="290" t="s">
        <v>190</v>
      </c>
      <c r="F385" s="290" t="s">
        <v>261</v>
      </c>
      <c r="G385" s="290" t="s">
        <v>251</v>
      </c>
      <c r="H385" s="290" t="s">
        <v>181</v>
      </c>
      <c r="I385" s="290" t="s">
        <v>182</v>
      </c>
      <c r="J385" s="290" t="s">
        <v>183</v>
      </c>
      <c r="K385" s="290" t="s">
        <v>183</v>
      </c>
      <c r="L385" s="293">
        <v>0</v>
      </c>
      <c r="M385" s="293">
        <v>29.643999999999998</v>
      </c>
      <c r="N385" s="293">
        <v>38.479999999999997</v>
      </c>
      <c r="O385" s="290" t="s">
        <v>184</v>
      </c>
      <c r="P385" s="293">
        <v>5002.5</v>
      </c>
      <c r="Q385" s="294">
        <v>4887.16</v>
      </c>
      <c r="R385" s="294">
        <v>3517.22</v>
      </c>
      <c r="S385" s="294">
        <v>4854.87</v>
      </c>
      <c r="T385" s="294">
        <v>0</v>
      </c>
      <c r="U385" s="294">
        <v>13259.25</v>
      </c>
    </row>
    <row r="386" spans="1:21" hidden="1" x14ac:dyDescent="0.25">
      <c r="A386" s="291">
        <v>401745</v>
      </c>
      <c r="B386" s="290" t="s">
        <v>185</v>
      </c>
      <c r="C386" s="292">
        <v>39324</v>
      </c>
      <c r="D386" s="292">
        <v>39324.333333333336</v>
      </c>
      <c r="E386" s="290" t="s">
        <v>186</v>
      </c>
      <c r="F386" s="290" t="s">
        <v>254</v>
      </c>
      <c r="G386" s="290" t="s">
        <v>251</v>
      </c>
      <c r="H386" s="290" t="s">
        <v>181</v>
      </c>
      <c r="I386" s="290" t="s">
        <v>182</v>
      </c>
      <c r="J386" s="290" t="s">
        <v>183</v>
      </c>
      <c r="K386" s="290" t="s">
        <v>183</v>
      </c>
      <c r="L386" s="293">
        <v>0</v>
      </c>
      <c r="M386" s="293">
        <v>0</v>
      </c>
      <c r="N386" s="293">
        <v>28.173999999999999</v>
      </c>
      <c r="O386" s="290" t="s">
        <v>184</v>
      </c>
      <c r="P386" s="293">
        <v>5.48</v>
      </c>
      <c r="Q386" s="294">
        <v>67.77</v>
      </c>
      <c r="R386" s="294">
        <v>18.97</v>
      </c>
      <c r="S386" s="294">
        <v>0</v>
      </c>
      <c r="T386" s="294">
        <v>0</v>
      </c>
      <c r="U386" s="294">
        <v>86.74</v>
      </c>
    </row>
    <row r="387" spans="1:21" hidden="1" x14ac:dyDescent="0.25">
      <c r="A387" s="291">
        <v>401745</v>
      </c>
      <c r="B387" s="290" t="s">
        <v>185</v>
      </c>
      <c r="C387" s="292">
        <v>39324</v>
      </c>
      <c r="D387" s="292">
        <v>39324.333333333336</v>
      </c>
      <c r="E387" s="290" t="s">
        <v>186</v>
      </c>
      <c r="F387" s="290" t="s">
        <v>254</v>
      </c>
      <c r="G387" s="290" t="s">
        <v>251</v>
      </c>
      <c r="H387" s="290" t="s">
        <v>181</v>
      </c>
      <c r="I387" s="290" t="s">
        <v>182</v>
      </c>
      <c r="J387" s="290" t="s">
        <v>183</v>
      </c>
      <c r="K387" s="290" t="s">
        <v>183</v>
      </c>
      <c r="L387" s="293">
        <v>0</v>
      </c>
      <c r="M387" s="293">
        <v>29.643999999999998</v>
      </c>
      <c r="N387" s="293">
        <v>38.479999999999997</v>
      </c>
      <c r="O387" s="290" t="s">
        <v>184</v>
      </c>
      <c r="P387" s="293">
        <v>1.73</v>
      </c>
      <c r="Q387" s="294">
        <v>21.35</v>
      </c>
      <c r="R387" s="294">
        <v>5.98</v>
      </c>
      <c r="S387" s="294">
        <v>0</v>
      </c>
      <c r="T387" s="294">
        <v>0</v>
      </c>
      <c r="U387" s="294">
        <v>27.33</v>
      </c>
    </row>
    <row r="388" spans="1:21" hidden="1" x14ac:dyDescent="0.25">
      <c r="A388" s="291">
        <v>400806</v>
      </c>
      <c r="B388" s="290" t="s">
        <v>185</v>
      </c>
      <c r="C388" s="292">
        <v>39322</v>
      </c>
      <c r="D388" s="292">
        <v>39322.333333333336</v>
      </c>
      <c r="E388" s="290" t="s">
        <v>186</v>
      </c>
      <c r="F388" s="290" t="s">
        <v>262</v>
      </c>
      <c r="G388" s="290" t="s">
        <v>251</v>
      </c>
      <c r="H388" s="290" t="s">
        <v>181</v>
      </c>
      <c r="I388" s="290" t="s">
        <v>182</v>
      </c>
      <c r="J388" s="290" t="s">
        <v>183</v>
      </c>
      <c r="K388" s="290" t="s">
        <v>183</v>
      </c>
      <c r="L388" s="293">
        <v>0</v>
      </c>
      <c r="M388" s="293">
        <v>0</v>
      </c>
      <c r="N388" s="293">
        <v>28.173999999999999</v>
      </c>
      <c r="O388" s="290" t="s">
        <v>184</v>
      </c>
      <c r="P388" s="293">
        <v>18579.23</v>
      </c>
      <c r="Q388" s="294">
        <v>203.32</v>
      </c>
      <c r="R388" s="294">
        <v>105.92</v>
      </c>
      <c r="S388" s="294">
        <v>0</v>
      </c>
      <c r="T388" s="294">
        <v>0</v>
      </c>
      <c r="U388" s="294">
        <v>309.24</v>
      </c>
    </row>
    <row r="389" spans="1:21" hidden="1" x14ac:dyDescent="0.25">
      <c r="A389" s="291">
        <v>400806</v>
      </c>
      <c r="B389" s="290" t="s">
        <v>185</v>
      </c>
      <c r="C389" s="292">
        <v>39322</v>
      </c>
      <c r="D389" s="292">
        <v>39322.333333333336</v>
      </c>
      <c r="E389" s="290" t="s">
        <v>186</v>
      </c>
      <c r="F389" s="290" t="s">
        <v>262</v>
      </c>
      <c r="G389" s="290" t="s">
        <v>251</v>
      </c>
      <c r="H389" s="290" t="s">
        <v>181</v>
      </c>
      <c r="I389" s="290" t="s">
        <v>182</v>
      </c>
      <c r="J389" s="290" t="s">
        <v>183</v>
      </c>
      <c r="K389" s="290" t="s">
        <v>183</v>
      </c>
      <c r="L389" s="293">
        <v>0</v>
      </c>
      <c r="M389" s="293">
        <v>29.643999999999998</v>
      </c>
      <c r="N389" s="293">
        <v>38.479999999999997</v>
      </c>
      <c r="O389" s="290" t="s">
        <v>184</v>
      </c>
      <c r="P389" s="293">
        <v>5853.73</v>
      </c>
      <c r="Q389" s="294">
        <v>64.06</v>
      </c>
      <c r="R389" s="294">
        <v>33.369999999999997</v>
      </c>
      <c r="S389" s="294">
        <v>0</v>
      </c>
      <c r="T389" s="294">
        <v>0</v>
      </c>
      <c r="U389" s="294">
        <v>97.43</v>
      </c>
    </row>
    <row r="390" spans="1:21" hidden="1" x14ac:dyDescent="0.25">
      <c r="A390" s="291">
        <v>400804</v>
      </c>
      <c r="B390" s="290" t="s">
        <v>185</v>
      </c>
      <c r="C390" s="292">
        <v>39322</v>
      </c>
      <c r="D390" s="292">
        <v>39322.333333333336</v>
      </c>
      <c r="E390" s="290" t="s">
        <v>186</v>
      </c>
      <c r="F390" s="290" t="s">
        <v>262</v>
      </c>
      <c r="G390" s="290" t="s">
        <v>250</v>
      </c>
      <c r="H390" s="290" t="s">
        <v>181</v>
      </c>
      <c r="I390" s="290" t="s">
        <v>194</v>
      </c>
      <c r="J390" s="290" t="s">
        <v>183</v>
      </c>
      <c r="K390" s="290" t="s">
        <v>183</v>
      </c>
      <c r="L390" s="293">
        <v>0</v>
      </c>
      <c r="M390" s="293">
        <v>0</v>
      </c>
      <c r="N390" s="293">
        <v>3.4409999999999998</v>
      </c>
      <c r="O390" s="290" t="s">
        <v>184</v>
      </c>
      <c r="P390" s="293">
        <v>20000</v>
      </c>
      <c r="Q390" s="294">
        <v>557.04</v>
      </c>
      <c r="R390" s="294">
        <v>290.2</v>
      </c>
      <c r="S390" s="294">
        <v>0</v>
      </c>
      <c r="T390" s="294">
        <v>0</v>
      </c>
      <c r="U390" s="294">
        <v>847.24</v>
      </c>
    </row>
    <row r="391" spans="1:21" hidden="1" x14ac:dyDescent="0.25">
      <c r="A391" s="291">
        <v>400261</v>
      </c>
      <c r="B391" s="290" t="s">
        <v>177</v>
      </c>
      <c r="C391" s="292">
        <v>39322</v>
      </c>
      <c r="D391" s="292">
        <v>39344</v>
      </c>
      <c r="E391" s="290" t="s">
        <v>190</v>
      </c>
      <c r="F391" s="290" t="s">
        <v>255</v>
      </c>
      <c r="G391" s="290" t="s">
        <v>251</v>
      </c>
      <c r="H391" s="290" t="s">
        <v>181</v>
      </c>
      <c r="I391" s="290" t="s">
        <v>182</v>
      </c>
      <c r="J391" s="290" t="s">
        <v>183</v>
      </c>
      <c r="K391" s="290" t="s">
        <v>183</v>
      </c>
      <c r="L391" s="293">
        <v>0</v>
      </c>
      <c r="M391" s="293">
        <v>0</v>
      </c>
      <c r="N391" s="293">
        <v>28.173999999999999</v>
      </c>
      <c r="O391" s="290" t="s">
        <v>184</v>
      </c>
      <c r="P391" s="293">
        <v>12410</v>
      </c>
      <c r="Q391" s="294">
        <v>9585.98</v>
      </c>
      <c r="R391" s="294">
        <v>10899.6</v>
      </c>
      <c r="S391" s="294">
        <v>1586.31</v>
      </c>
      <c r="T391" s="294">
        <v>0</v>
      </c>
      <c r="U391" s="294">
        <v>22071.89</v>
      </c>
    </row>
    <row r="392" spans="1:21" hidden="1" x14ac:dyDescent="0.25">
      <c r="A392" s="291">
        <v>400261</v>
      </c>
      <c r="B392" s="290" t="s">
        <v>177</v>
      </c>
      <c r="C392" s="292">
        <v>39322</v>
      </c>
      <c r="D392" s="292">
        <v>39344</v>
      </c>
      <c r="E392" s="290" t="s">
        <v>190</v>
      </c>
      <c r="F392" s="290" t="s">
        <v>255</v>
      </c>
      <c r="G392" s="290" t="s">
        <v>251</v>
      </c>
      <c r="H392" s="290" t="s">
        <v>181</v>
      </c>
      <c r="I392" s="290" t="s">
        <v>182</v>
      </c>
      <c r="J392" s="290" t="s">
        <v>183</v>
      </c>
      <c r="K392" s="290" t="s">
        <v>183</v>
      </c>
      <c r="L392" s="293">
        <v>0</v>
      </c>
      <c r="M392" s="293">
        <v>29.643999999999998</v>
      </c>
      <c r="N392" s="293">
        <v>38.479999999999997</v>
      </c>
      <c r="O392" s="290" t="s">
        <v>184</v>
      </c>
      <c r="P392" s="293">
        <v>3910</v>
      </c>
      <c r="Q392" s="294">
        <v>3020.24</v>
      </c>
      <c r="R392" s="294">
        <v>3434.12</v>
      </c>
      <c r="S392" s="294">
        <v>499.8</v>
      </c>
      <c r="T392" s="294">
        <v>0</v>
      </c>
      <c r="U392" s="294">
        <v>6954.16</v>
      </c>
    </row>
    <row r="393" spans="1:21" hidden="1" x14ac:dyDescent="0.25">
      <c r="A393" s="291">
        <v>397698</v>
      </c>
      <c r="B393" s="290" t="s">
        <v>177</v>
      </c>
      <c r="C393" s="292">
        <v>39314</v>
      </c>
      <c r="D393" s="292">
        <v>39325</v>
      </c>
      <c r="E393" s="290" t="s">
        <v>190</v>
      </c>
      <c r="F393" s="290" t="s">
        <v>263</v>
      </c>
      <c r="G393" s="290" t="s">
        <v>251</v>
      </c>
      <c r="H393" s="290" t="s">
        <v>181</v>
      </c>
      <c r="I393" s="290" t="s">
        <v>182</v>
      </c>
      <c r="J393" s="290" t="s">
        <v>183</v>
      </c>
      <c r="K393" s="290" t="s">
        <v>183</v>
      </c>
      <c r="L393" s="293">
        <v>0</v>
      </c>
      <c r="M393" s="293">
        <v>0</v>
      </c>
      <c r="N393" s="293">
        <v>28.173999999999999</v>
      </c>
      <c r="O393" s="290" t="s">
        <v>184</v>
      </c>
      <c r="P393" s="293">
        <v>7.49</v>
      </c>
      <c r="Q393" s="294">
        <v>994.14</v>
      </c>
      <c r="R393" s="294">
        <v>1548.35</v>
      </c>
      <c r="S393" s="294">
        <v>0</v>
      </c>
      <c r="T393" s="294">
        <v>0</v>
      </c>
      <c r="U393" s="294">
        <v>2542.4899999999998</v>
      </c>
    </row>
    <row r="394" spans="1:21" hidden="1" x14ac:dyDescent="0.25">
      <c r="A394" s="291">
        <v>397698</v>
      </c>
      <c r="B394" s="290" t="s">
        <v>177</v>
      </c>
      <c r="C394" s="292">
        <v>39314</v>
      </c>
      <c r="D394" s="292">
        <v>39325</v>
      </c>
      <c r="E394" s="290" t="s">
        <v>190</v>
      </c>
      <c r="F394" s="290" t="s">
        <v>263</v>
      </c>
      <c r="G394" s="290" t="s">
        <v>251</v>
      </c>
      <c r="H394" s="290" t="s">
        <v>181</v>
      </c>
      <c r="I394" s="290" t="s">
        <v>182</v>
      </c>
      <c r="J394" s="290" t="s">
        <v>183</v>
      </c>
      <c r="K394" s="290" t="s">
        <v>183</v>
      </c>
      <c r="L394" s="293">
        <v>0</v>
      </c>
      <c r="M394" s="293">
        <v>29.643999999999998</v>
      </c>
      <c r="N394" s="293">
        <v>38.479999999999997</v>
      </c>
      <c r="O394" s="290" t="s">
        <v>184</v>
      </c>
      <c r="P394" s="293">
        <v>2.36</v>
      </c>
      <c r="Q394" s="294">
        <v>313.22000000000003</v>
      </c>
      <c r="R394" s="294">
        <v>487.84</v>
      </c>
      <c r="S394" s="294">
        <v>0</v>
      </c>
      <c r="T394" s="294">
        <v>0</v>
      </c>
      <c r="U394" s="294">
        <v>801.06</v>
      </c>
    </row>
    <row r="395" spans="1:21" hidden="1" x14ac:dyDescent="0.25">
      <c r="A395" s="291">
        <v>391586</v>
      </c>
      <c r="B395" s="290" t="s">
        <v>212</v>
      </c>
      <c r="C395" s="292">
        <v>39296</v>
      </c>
      <c r="D395" s="292">
        <v>39331.333333333336</v>
      </c>
      <c r="E395" s="290" t="s">
        <v>240</v>
      </c>
      <c r="F395" s="290" t="s">
        <v>264</v>
      </c>
      <c r="G395" s="290" t="s">
        <v>251</v>
      </c>
      <c r="H395" s="290" t="s">
        <v>181</v>
      </c>
      <c r="I395" s="290" t="s">
        <v>182</v>
      </c>
      <c r="J395" s="290" t="s">
        <v>183</v>
      </c>
      <c r="K395" s="290" t="s">
        <v>183</v>
      </c>
      <c r="L395" s="293">
        <v>0</v>
      </c>
      <c r="M395" s="293">
        <v>0</v>
      </c>
      <c r="N395" s="293">
        <v>28.173999999999999</v>
      </c>
      <c r="O395" s="290" t="s">
        <v>184</v>
      </c>
      <c r="P395" s="293">
        <v>27.74</v>
      </c>
      <c r="Q395" s="294">
        <v>886.83</v>
      </c>
      <c r="R395" s="294">
        <v>501.19</v>
      </c>
      <c r="S395" s="294">
        <v>733.69</v>
      </c>
      <c r="T395" s="294">
        <v>0</v>
      </c>
      <c r="U395" s="294">
        <v>2121.71</v>
      </c>
    </row>
    <row r="396" spans="1:21" hidden="1" x14ac:dyDescent="0.25">
      <c r="A396" s="291">
        <v>391586</v>
      </c>
      <c r="B396" s="290" t="s">
        <v>212</v>
      </c>
      <c r="C396" s="292">
        <v>39296</v>
      </c>
      <c r="D396" s="292">
        <v>39331.333333333336</v>
      </c>
      <c r="E396" s="290" t="s">
        <v>240</v>
      </c>
      <c r="F396" s="290" t="s">
        <v>264</v>
      </c>
      <c r="G396" s="290" t="s">
        <v>251</v>
      </c>
      <c r="H396" s="290" t="s">
        <v>181</v>
      </c>
      <c r="I396" s="290" t="s">
        <v>182</v>
      </c>
      <c r="J396" s="290" t="s">
        <v>183</v>
      </c>
      <c r="K396" s="290" t="s">
        <v>183</v>
      </c>
      <c r="L396" s="293">
        <v>0</v>
      </c>
      <c r="M396" s="293">
        <v>29.643999999999998</v>
      </c>
      <c r="N396" s="293">
        <v>38.479999999999997</v>
      </c>
      <c r="O396" s="290" t="s">
        <v>184</v>
      </c>
      <c r="P396" s="293">
        <v>8.74</v>
      </c>
      <c r="Q396" s="294">
        <v>279.41000000000003</v>
      </c>
      <c r="R396" s="294">
        <v>157.91</v>
      </c>
      <c r="S396" s="294">
        <v>231.16</v>
      </c>
      <c r="T396" s="294">
        <v>0</v>
      </c>
      <c r="U396" s="294">
        <v>668.48</v>
      </c>
    </row>
    <row r="397" spans="1:21" hidden="1" x14ac:dyDescent="0.25">
      <c r="A397" s="291">
        <v>390895</v>
      </c>
      <c r="B397" s="290" t="s">
        <v>177</v>
      </c>
      <c r="C397" s="292">
        <v>39293</v>
      </c>
      <c r="D397" s="292">
        <v>39293.333333333336</v>
      </c>
      <c r="E397" s="290" t="s">
        <v>190</v>
      </c>
      <c r="F397" s="290" t="s">
        <v>265</v>
      </c>
      <c r="G397" s="290" t="s">
        <v>250</v>
      </c>
      <c r="H397" s="290" t="s">
        <v>181</v>
      </c>
      <c r="I397" s="290" t="s">
        <v>194</v>
      </c>
      <c r="J397" s="290" t="s">
        <v>183</v>
      </c>
      <c r="K397" s="290" t="s">
        <v>183</v>
      </c>
      <c r="L397" s="293">
        <v>0</v>
      </c>
      <c r="M397" s="293">
        <v>0</v>
      </c>
      <c r="N397" s="293">
        <v>3.4409999999999998</v>
      </c>
      <c r="O397" s="290" t="s">
        <v>184</v>
      </c>
      <c r="P397" s="293">
        <v>2</v>
      </c>
      <c r="Q397" s="294">
        <v>334.56</v>
      </c>
      <c r="R397" s="294">
        <v>129.36000000000001</v>
      </c>
      <c r="S397" s="294">
        <v>0</v>
      </c>
      <c r="T397" s="294">
        <v>0</v>
      </c>
      <c r="U397" s="294">
        <v>463.92</v>
      </c>
    </row>
    <row r="398" spans="1:21" hidden="1" x14ac:dyDescent="0.25">
      <c r="A398" s="291">
        <v>388859</v>
      </c>
      <c r="B398" s="290" t="s">
        <v>212</v>
      </c>
      <c r="C398" s="292">
        <v>39303</v>
      </c>
      <c r="D398" s="292">
        <v>39329.333333333336</v>
      </c>
      <c r="E398" s="290" t="s">
        <v>240</v>
      </c>
      <c r="F398" s="290" t="s">
        <v>266</v>
      </c>
      <c r="G398" s="290" t="s">
        <v>251</v>
      </c>
      <c r="H398" s="290" t="s">
        <v>181</v>
      </c>
      <c r="I398" s="290" t="s">
        <v>182</v>
      </c>
      <c r="J398" s="290" t="s">
        <v>183</v>
      </c>
      <c r="K398" s="290" t="s">
        <v>183</v>
      </c>
      <c r="L398" s="293">
        <v>0</v>
      </c>
      <c r="M398" s="293">
        <v>0</v>
      </c>
      <c r="N398" s="293">
        <v>28.173999999999999</v>
      </c>
      <c r="O398" s="290" t="s">
        <v>184</v>
      </c>
      <c r="P398" s="293">
        <v>8.0299999999999994</v>
      </c>
      <c r="Q398" s="294">
        <v>1127.44</v>
      </c>
      <c r="R398" s="294">
        <v>300.76</v>
      </c>
      <c r="S398" s="294">
        <v>175.94</v>
      </c>
      <c r="T398" s="294">
        <v>0</v>
      </c>
      <c r="U398" s="294">
        <v>1604.15</v>
      </c>
    </row>
    <row r="399" spans="1:21" hidden="1" x14ac:dyDescent="0.25">
      <c r="A399" s="291">
        <v>388859</v>
      </c>
      <c r="B399" s="290" t="s">
        <v>212</v>
      </c>
      <c r="C399" s="292">
        <v>39303</v>
      </c>
      <c r="D399" s="292">
        <v>39329.333333333336</v>
      </c>
      <c r="E399" s="290" t="s">
        <v>240</v>
      </c>
      <c r="F399" s="290" t="s">
        <v>266</v>
      </c>
      <c r="G399" s="290" t="s">
        <v>251</v>
      </c>
      <c r="H399" s="290" t="s">
        <v>181</v>
      </c>
      <c r="I399" s="290" t="s">
        <v>182</v>
      </c>
      <c r="J399" s="290" t="s">
        <v>183</v>
      </c>
      <c r="K399" s="290" t="s">
        <v>183</v>
      </c>
      <c r="L399" s="293">
        <v>0</v>
      </c>
      <c r="M399" s="293">
        <v>29.643999999999998</v>
      </c>
      <c r="N399" s="293">
        <v>38.479999999999997</v>
      </c>
      <c r="O399" s="290" t="s">
        <v>184</v>
      </c>
      <c r="P399" s="293">
        <v>2.5299999999999998</v>
      </c>
      <c r="Q399" s="294">
        <v>355.22</v>
      </c>
      <c r="R399" s="294">
        <v>94.76</v>
      </c>
      <c r="S399" s="294">
        <v>55.43</v>
      </c>
      <c r="T399" s="294">
        <v>0</v>
      </c>
      <c r="U399" s="294">
        <v>505.42</v>
      </c>
    </row>
    <row r="400" spans="1:21" hidden="1" x14ac:dyDescent="0.25">
      <c r="A400" s="291">
        <v>388071</v>
      </c>
      <c r="B400" s="290" t="s">
        <v>177</v>
      </c>
      <c r="C400" s="292">
        <v>39287</v>
      </c>
      <c r="D400" s="292">
        <v>39290</v>
      </c>
      <c r="E400" s="290" t="s">
        <v>190</v>
      </c>
      <c r="F400" s="290" t="s">
        <v>267</v>
      </c>
      <c r="G400" s="290" t="s">
        <v>251</v>
      </c>
      <c r="H400" s="290" t="s">
        <v>181</v>
      </c>
      <c r="I400" s="290" t="s">
        <v>182</v>
      </c>
      <c r="J400" s="290" t="s">
        <v>183</v>
      </c>
      <c r="K400" s="290" t="s">
        <v>183</v>
      </c>
      <c r="L400" s="293">
        <v>0</v>
      </c>
      <c r="M400" s="293">
        <v>0</v>
      </c>
      <c r="N400" s="293">
        <v>28.173999999999999</v>
      </c>
      <c r="O400" s="290" t="s">
        <v>184</v>
      </c>
      <c r="P400" s="293">
        <v>99.28</v>
      </c>
      <c r="Q400" s="294">
        <v>2252.31</v>
      </c>
      <c r="R400" s="294">
        <v>451.67</v>
      </c>
      <c r="S400" s="294">
        <v>0</v>
      </c>
      <c r="T400" s="294">
        <v>0</v>
      </c>
      <c r="U400" s="294">
        <v>2703.98</v>
      </c>
    </row>
    <row r="401" spans="1:21" hidden="1" x14ac:dyDescent="0.25">
      <c r="A401" s="291">
        <v>388071</v>
      </c>
      <c r="B401" s="290" t="s">
        <v>177</v>
      </c>
      <c r="C401" s="292">
        <v>39287</v>
      </c>
      <c r="D401" s="292">
        <v>39290</v>
      </c>
      <c r="E401" s="290" t="s">
        <v>190</v>
      </c>
      <c r="F401" s="290" t="s">
        <v>267</v>
      </c>
      <c r="G401" s="290" t="s">
        <v>251</v>
      </c>
      <c r="H401" s="290" t="s">
        <v>181</v>
      </c>
      <c r="I401" s="290" t="s">
        <v>182</v>
      </c>
      <c r="J401" s="290" t="s">
        <v>183</v>
      </c>
      <c r="K401" s="290" t="s">
        <v>183</v>
      </c>
      <c r="L401" s="293">
        <v>0</v>
      </c>
      <c r="M401" s="293">
        <v>29.643999999999998</v>
      </c>
      <c r="N401" s="293">
        <v>38.479999999999997</v>
      </c>
      <c r="O401" s="290" t="s">
        <v>184</v>
      </c>
      <c r="P401" s="293">
        <v>31.28</v>
      </c>
      <c r="Q401" s="294">
        <v>709.63</v>
      </c>
      <c r="R401" s="294">
        <v>142.31</v>
      </c>
      <c r="S401" s="294">
        <v>0</v>
      </c>
      <c r="T401" s="294">
        <v>0</v>
      </c>
      <c r="U401" s="294">
        <v>851.94</v>
      </c>
    </row>
    <row r="402" spans="1:21" hidden="1" x14ac:dyDescent="0.25">
      <c r="A402" s="291">
        <v>387513</v>
      </c>
      <c r="B402" s="290" t="s">
        <v>177</v>
      </c>
      <c r="C402" s="292">
        <v>39286</v>
      </c>
      <c r="D402" s="292">
        <v>39325</v>
      </c>
      <c r="E402" s="290" t="s">
        <v>190</v>
      </c>
      <c r="F402" s="290" t="s">
        <v>255</v>
      </c>
      <c r="G402" s="290" t="s">
        <v>251</v>
      </c>
      <c r="H402" s="290" t="s">
        <v>181</v>
      </c>
      <c r="I402" s="290" t="s">
        <v>182</v>
      </c>
      <c r="J402" s="290" t="s">
        <v>183</v>
      </c>
      <c r="K402" s="290" t="s">
        <v>183</v>
      </c>
      <c r="L402" s="293">
        <v>0</v>
      </c>
      <c r="M402" s="293">
        <v>0</v>
      </c>
      <c r="N402" s="293">
        <v>28.173999999999999</v>
      </c>
      <c r="O402" s="290" t="s">
        <v>184</v>
      </c>
      <c r="P402" s="293">
        <v>8760</v>
      </c>
      <c r="Q402" s="294">
        <v>7120.8</v>
      </c>
      <c r="R402" s="294">
        <v>6194.78</v>
      </c>
      <c r="S402" s="294">
        <v>855.01</v>
      </c>
      <c r="T402" s="294">
        <v>0</v>
      </c>
      <c r="U402" s="294">
        <v>14170.59</v>
      </c>
    </row>
    <row r="403" spans="1:21" hidden="1" x14ac:dyDescent="0.25">
      <c r="A403" s="291">
        <v>387513</v>
      </c>
      <c r="B403" s="290" t="s">
        <v>177</v>
      </c>
      <c r="C403" s="292">
        <v>39286</v>
      </c>
      <c r="D403" s="292">
        <v>39325</v>
      </c>
      <c r="E403" s="290" t="s">
        <v>190</v>
      </c>
      <c r="F403" s="290" t="s">
        <v>255</v>
      </c>
      <c r="G403" s="290" t="s">
        <v>251</v>
      </c>
      <c r="H403" s="290" t="s">
        <v>181</v>
      </c>
      <c r="I403" s="290" t="s">
        <v>182</v>
      </c>
      <c r="J403" s="290" t="s">
        <v>183</v>
      </c>
      <c r="K403" s="290" t="s">
        <v>183</v>
      </c>
      <c r="L403" s="293">
        <v>0</v>
      </c>
      <c r="M403" s="293">
        <v>29.643999999999998</v>
      </c>
      <c r="N403" s="293">
        <v>38.479999999999997</v>
      </c>
      <c r="O403" s="290" t="s">
        <v>184</v>
      </c>
      <c r="P403" s="293">
        <v>2760</v>
      </c>
      <c r="Q403" s="294">
        <v>2243.54</v>
      </c>
      <c r="R403" s="294">
        <v>1951.78</v>
      </c>
      <c r="S403" s="294">
        <v>269.39</v>
      </c>
      <c r="T403" s="294">
        <v>0</v>
      </c>
      <c r="U403" s="294">
        <v>4464.71</v>
      </c>
    </row>
    <row r="404" spans="1:21" hidden="1" x14ac:dyDescent="0.25">
      <c r="A404" s="291">
        <v>385612</v>
      </c>
      <c r="B404" s="290" t="s">
        <v>177</v>
      </c>
      <c r="C404" s="292">
        <v>39290</v>
      </c>
      <c r="D404" s="292">
        <v>39311.333333333336</v>
      </c>
      <c r="E404" s="290" t="s">
        <v>190</v>
      </c>
      <c r="F404" s="290" t="s">
        <v>263</v>
      </c>
      <c r="G404" s="290" t="s">
        <v>251</v>
      </c>
      <c r="H404" s="290" t="s">
        <v>181</v>
      </c>
      <c r="I404" s="290" t="s">
        <v>182</v>
      </c>
      <c r="J404" s="290" t="s">
        <v>183</v>
      </c>
      <c r="K404" s="290" t="s">
        <v>183</v>
      </c>
      <c r="L404" s="293">
        <v>0</v>
      </c>
      <c r="M404" s="293">
        <v>0</v>
      </c>
      <c r="N404" s="293">
        <v>28.173999999999999</v>
      </c>
      <c r="O404" s="290" t="s">
        <v>184</v>
      </c>
      <c r="P404" s="293">
        <v>27.46</v>
      </c>
      <c r="Q404" s="294">
        <v>2060.6799999999998</v>
      </c>
      <c r="R404" s="294">
        <v>3019.28</v>
      </c>
      <c r="S404" s="294">
        <v>0</v>
      </c>
      <c r="T404" s="294">
        <v>0</v>
      </c>
      <c r="U404" s="294">
        <v>5079.96</v>
      </c>
    </row>
    <row r="405" spans="1:21" hidden="1" x14ac:dyDescent="0.25">
      <c r="A405" s="291">
        <v>385612</v>
      </c>
      <c r="B405" s="290" t="s">
        <v>177</v>
      </c>
      <c r="C405" s="292">
        <v>39290</v>
      </c>
      <c r="D405" s="292">
        <v>39311.333333333336</v>
      </c>
      <c r="E405" s="290" t="s">
        <v>190</v>
      </c>
      <c r="F405" s="290" t="s">
        <v>263</v>
      </c>
      <c r="G405" s="290" t="s">
        <v>251</v>
      </c>
      <c r="H405" s="290" t="s">
        <v>181</v>
      </c>
      <c r="I405" s="290" t="s">
        <v>182</v>
      </c>
      <c r="J405" s="290" t="s">
        <v>183</v>
      </c>
      <c r="K405" s="290" t="s">
        <v>183</v>
      </c>
      <c r="L405" s="293">
        <v>0</v>
      </c>
      <c r="M405" s="293">
        <v>29.643999999999998</v>
      </c>
      <c r="N405" s="293">
        <v>38.479999999999997</v>
      </c>
      <c r="O405" s="290" t="s">
        <v>184</v>
      </c>
      <c r="P405" s="293">
        <v>8.65</v>
      </c>
      <c r="Q405" s="294">
        <v>649.26</v>
      </c>
      <c r="R405" s="294">
        <v>951.28</v>
      </c>
      <c r="S405" s="294">
        <v>0</v>
      </c>
      <c r="T405" s="294">
        <v>0</v>
      </c>
      <c r="U405" s="294">
        <v>1600.54</v>
      </c>
    </row>
    <row r="406" spans="1:21" hidden="1" x14ac:dyDescent="0.25">
      <c r="A406" s="291">
        <v>383372</v>
      </c>
      <c r="B406" s="290" t="s">
        <v>185</v>
      </c>
      <c r="C406" s="292">
        <v>39273</v>
      </c>
      <c r="D406" s="292">
        <v>39273.333333333336</v>
      </c>
      <c r="E406" s="290" t="s">
        <v>186</v>
      </c>
      <c r="F406" s="290" t="s">
        <v>254</v>
      </c>
      <c r="G406" s="290" t="s">
        <v>251</v>
      </c>
      <c r="H406" s="290" t="s">
        <v>181</v>
      </c>
      <c r="I406" s="290" t="s">
        <v>182</v>
      </c>
      <c r="J406" s="290" t="s">
        <v>183</v>
      </c>
      <c r="K406" s="290" t="s">
        <v>183</v>
      </c>
      <c r="L406" s="293">
        <v>0</v>
      </c>
      <c r="M406" s="293">
        <v>0</v>
      </c>
      <c r="N406" s="293">
        <v>28.173999999999999</v>
      </c>
      <c r="O406" s="290" t="s">
        <v>184</v>
      </c>
      <c r="P406" s="293">
        <v>5.48</v>
      </c>
      <c r="Q406" s="294">
        <v>135.55000000000001</v>
      </c>
      <c r="R406" s="294">
        <v>37.93</v>
      </c>
      <c r="S406" s="294">
        <v>0</v>
      </c>
      <c r="T406" s="294">
        <v>0</v>
      </c>
      <c r="U406" s="294">
        <v>173.48</v>
      </c>
    </row>
    <row r="407" spans="1:21" hidden="1" x14ac:dyDescent="0.25">
      <c r="A407" s="291">
        <v>383372</v>
      </c>
      <c r="B407" s="290" t="s">
        <v>185</v>
      </c>
      <c r="C407" s="292">
        <v>39273</v>
      </c>
      <c r="D407" s="292">
        <v>39273.333333333336</v>
      </c>
      <c r="E407" s="290" t="s">
        <v>186</v>
      </c>
      <c r="F407" s="290" t="s">
        <v>254</v>
      </c>
      <c r="G407" s="290" t="s">
        <v>251</v>
      </c>
      <c r="H407" s="290" t="s">
        <v>181</v>
      </c>
      <c r="I407" s="290" t="s">
        <v>182</v>
      </c>
      <c r="J407" s="290" t="s">
        <v>183</v>
      </c>
      <c r="K407" s="290" t="s">
        <v>183</v>
      </c>
      <c r="L407" s="293">
        <v>0</v>
      </c>
      <c r="M407" s="293">
        <v>29.643999999999998</v>
      </c>
      <c r="N407" s="293">
        <v>38.479999999999997</v>
      </c>
      <c r="O407" s="290" t="s">
        <v>184</v>
      </c>
      <c r="P407" s="293">
        <v>1.73</v>
      </c>
      <c r="Q407" s="294">
        <v>42.71</v>
      </c>
      <c r="R407" s="294">
        <v>11.95</v>
      </c>
      <c r="S407" s="294">
        <v>0</v>
      </c>
      <c r="T407" s="294">
        <v>0</v>
      </c>
      <c r="U407" s="294">
        <v>54.66</v>
      </c>
    </row>
    <row r="408" spans="1:21" hidden="1" x14ac:dyDescent="0.25">
      <c r="A408" s="291">
        <v>380942</v>
      </c>
      <c r="B408" s="290" t="s">
        <v>212</v>
      </c>
      <c r="C408" s="292">
        <v>39266</v>
      </c>
      <c r="D408" s="292">
        <v>39324.333333333336</v>
      </c>
      <c r="E408" s="290" t="s">
        <v>240</v>
      </c>
      <c r="F408" s="290" t="s">
        <v>268</v>
      </c>
      <c r="G408" s="290" t="s">
        <v>251</v>
      </c>
      <c r="H408" s="290" t="s">
        <v>181</v>
      </c>
      <c r="I408" s="290" t="s">
        <v>182</v>
      </c>
      <c r="J408" s="290" t="s">
        <v>183</v>
      </c>
      <c r="K408" s="290" t="s">
        <v>183</v>
      </c>
      <c r="L408" s="293">
        <v>0</v>
      </c>
      <c r="M408" s="293">
        <v>0</v>
      </c>
      <c r="N408" s="293">
        <v>28.173999999999999</v>
      </c>
      <c r="O408" s="290" t="s">
        <v>184</v>
      </c>
      <c r="P408" s="293">
        <v>61.32</v>
      </c>
      <c r="Q408" s="294">
        <v>1397.31</v>
      </c>
      <c r="R408" s="294">
        <v>797.16</v>
      </c>
      <c r="S408" s="294">
        <v>99.27</v>
      </c>
      <c r="T408" s="294">
        <v>0</v>
      </c>
      <c r="U408" s="294">
        <v>2293.7399999999998</v>
      </c>
    </row>
    <row r="409" spans="1:21" hidden="1" x14ac:dyDescent="0.25">
      <c r="A409" s="291">
        <v>380942</v>
      </c>
      <c r="B409" s="290" t="s">
        <v>212</v>
      </c>
      <c r="C409" s="292">
        <v>39266</v>
      </c>
      <c r="D409" s="292">
        <v>39324.333333333336</v>
      </c>
      <c r="E409" s="290" t="s">
        <v>240</v>
      </c>
      <c r="F409" s="290" t="s">
        <v>268</v>
      </c>
      <c r="G409" s="290" t="s">
        <v>251</v>
      </c>
      <c r="H409" s="290" t="s">
        <v>181</v>
      </c>
      <c r="I409" s="290" t="s">
        <v>182</v>
      </c>
      <c r="J409" s="290" t="s">
        <v>183</v>
      </c>
      <c r="K409" s="290" t="s">
        <v>183</v>
      </c>
      <c r="L409" s="293">
        <v>0</v>
      </c>
      <c r="M409" s="293">
        <v>29.643999999999998</v>
      </c>
      <c r="N409" s="293">
        <v>38.479999999999997</v>
      </c>
      <c r="O409" s="290" t="s">
        <v>184</v>
      </c>
      <c r="P409" s="293">
        <v>19.32</v>
      </c>
      <c r="Q409" s="294">
        <v>440.25</v>
      </c>
      <c r="R409" s="294">
        <v>251.16</v>
      </c>
      <c r="S409" s="294">
        <v>31.28</v>
      </c>
      <c r="T409" s="294">
        <v>0</v>
      </c>
      <c r="U409" s="294">
        <v>722.69</v>
      </c>
    </row>
    <row r="410" spans="1:21" hidden="1" x14ac:dyDescent="0.25">
      <c r="A410" s="291">
        <v>374194</v>
      </c>
      <c r="B410" s="290" t="s">
        <v>185</v>
      </c>
      <c r="C410" s="292">
        <v>39244</v>
      </c>
      <c r="D410" s="292">
        <v>39244.333333333336</v>
      </c>
      <c r="E410" s="290" t="s">
        <v>186</v>
      </c>
      <c r="F410" s="290" t="s">
        <v>256</v>
      </c>
      <c r="G410" s="290" t="s">
        <v>251</v>
      </c>
      <c r="H410" s="290" t="s">
        <v>181</v>
      </c>
      <c r="I410" s="290" t="s">
        <v>182</v>
      </c>
      <c r="J410" s="290" t="s">
        <v>183</v>
      </c>
      <c r="K410" s="290" t="s">
        <v>183</v>
      </c>
      <c r="L410" s="293">
        <v>0</v>
      </c>
      <c r="M410" s="293">
        <v>0</v>
      </c>
      <c r="N410" s="293">
        <v>28.173999999999999</v>
      </c>
      <c r="O410" s="290" t="s">
        <v>184</v>
      </c>
      <c r="P410" s="293">
        <v>2.19</v>
      </c>
      <c r="Q410" s="294">
        <v>67.77</v>
      </c>
      <c r="R410" s="294">
        <v>18.97</v>
      </c>
      <c r="S410" s="294">
        <v>0</v>
      </c>
      <c r="T410" s="294">
        <v>0</v>
      </c>
      <c r="U410" s="294">
        <v>86.74</v>
      </c>
    </row>
    <row r="411" spans="1:21" hidden="1" x14ac:dyDescent="0.25">
      <c r="A411" s="291">
        <v>374194</v>
      </c>
      <c r="B411" s="290" t="s">
        <v>185</v>
      </c>
      <c r="C411" s="292">
        <v>39244</v>
      </c>
      <c r="D411" s="292">
        <v>39244.333333333336</v>
      </c>
      <c r="E411" s="290" t="s">
        <v>186</v>
      </c>
      <c r="F411" s="290" t="s">
        <v>256</v>
      </c>
      <c r="G411" s="290" t="s">
        <v>251</v>
      </c>
      <c r="H411" s="290" t="s">
        <v>181</v>
      </c>
      <c r="I411" s="290" t="s">
        <v>182</v>
      </c>
      <c r="J411" s="290" t="s">
        <v>183</v>
      </c>
      <c r="K411" s="290" t="s">
        <v>183</v>
      </c>
      <c r="L411" s="293">
        <v>0</v>
      </c>
      <c r="M411" s="293">
        <v>29.643999999999998</v>
      </c>
      <c r="N411" s="293">
        <v>38.479999999999997</v>
      </c>
      <c r="O411" s="290" t="s">
        <v>184</v>
      </c>
      <c r="P411" s="293">
        <v>0.69</v>
      </c>
      <c r="Q411" s="294">
        <v>21.35</v>
      </c>
      <c r="R411" s="294">
        <v>5.98</v>
      </c>
      <c r="S411" s="294">
        <v>0</v>
      </c>
      <c r="T411" s="294">
        <v>0</v>
      </c>
      <c r="U411" s="294">
        <v>27.33</v>
      </c>
    </row>
    <row r="412" spans="1:21" hidden="1" x14ac:dyDescent="0.25">
      <c r="A412" s="291">
        <v>374193</v>
      </c>
      <c r="B412" s="290" t="s">
        <v>185</v>
      </c>
      <c r="C412" s="292">
        <v>39244</v>
      </c>
      <c r="D412" s="292">
        <v>39244.333333333336</v>
      </c>
      <c r="E412" s="290" t="s">
        <v>186</v>
      </c>
      <c r="F412" s="290" t="s">
        <v>256</v>
      </c>
      <c r="G412" s="290" t="s">
        <v>251</v>
      </c>
      <c r="H412" s="290" t="s">
        <v>181</v>
      </c>
      <c r="I412" s="290" t="s">
        <v>182</v>
      </c>
      <c r="J412" s="290" t="s">
        <v>183</v>
      </c>
      <c r="K412" s="290" t="s">
        <v>183</v>
      </c>
      <c r="L412" s="293">
        <v>0</v>
      </c>
      <c r="M412" s="293">
        <v>0</v>
      </c>
      <c r="N412" s="293">
        <v>28.173999999999999</v>
      </c>
      <c r="O412" s="290" t="s">
        <v>184</v>
      </c>
      <c r="P412" s="293">
        <v>0.73</v>
      </c>
      <c r="Q412" s="294">
        <v>67.77</v>
      </c>
      <c r="R412" s="294">
        <v>18.97</v>
      </c>
      <c r="S412" s="294">
        <v>0</v>
      </c>
      <c r="T412" s="294">
        <v>0</v>
      </c>
      <c r="U412" s="294">
        <v>86.74</v>
      </c>
    </row>
    <row r="413" spans="1:21" hidden="1" x14ac:dyDescent="0.25">
      <c r="A413" s="291">
        <v>374193</v>
      </c>
      <c r="B413" s="290" t="s">
        <v>185</v>
      </c>
      <c r="C413" s="292">
        <v>39244</v>
      </c>
      <c r="D413" s="292">
        <v>39244.333333333336</v>
      </c>
      <c r="E413" s="290" t="s">
        <v>186</v>
      </c>
      <c r="F413" s="290" t="s">
        <v>256</v>
      </c>
      <c r="G413" s="290" t="s">
        <v>251</v>
      </c>
      <c r="H413" s="290" t="s">
        <v>181</v>
      </c>
      <c r="I413" s="290" t="s">
        <v>182</v>
      </c>
      <c r="J413" s="290" t="s">
        <v>183</v>
      </c>
      <c r="K413" s="290" t="s">
        <v>183</v>
      </c>
      <c r="L413" s="293">
        <v>0</v>
      </c>
      <c r="M413" s="293">
        <v>29.643999999999998</v>
      </c>
      <c r="N413" s="293">
        <v>38.479999999999997</v>
      </c>
      <c r="O413" s="290" t="s">
        <v>184</v>
      </c>
      <c r="P413" s="293">
        <v>0.23</v>
      </c>
      <c r="Q413" s="294">
        <v>21.35</v>
      </c>
      <c r="R413" s="294">
        <v>5.98</v>
      </c>
      <c r="S413" s="294">
        <v>0</v>
      </c>
      <c r="T413" s="294">
        <v>0</v>
      </c>
      <c r="U413" s="294">
        <v>27.33</v>
      </c>
    </row>
    <row r="414" spans="1:21" hidden="1" x14ac:dyDescent="0.25">
      <c r="A414" s="291">
        <v>371187</v>
      </c>
      <c r="B414" s="290" t="s">
        <v>177</v>
      </c>
      <c r="C414" s="292">
        <v>39237</v>
      </c>
      <c r="D414" s="292">
        <v>39237.333333333336</v>
      </c>
      <c r="E414" s="290" t="s">
        <v>190</v>
      </c>
      <c r="F414" s="290" t="s">
        <v>269</v>
      </c>
      <c r="G414" s="290" t="s">
        <v>251</v>
      </c>
      <c r="H414" s="290" t="s">
        <v>181</v>
      </c>
      <c r="I414" s="290" t="s">
        <v>182</v>
      </c>
      <c r="J414" s="290" t="s">
        <v>183</v>
      </c>
      <c r="K414" s="290" t="s">
        <v>183</v>
      </c>
      <c r="L414" s="293">
        <v>0</v>
      </c>
      <c r="M414" s="293">
        <v>0</v>
      </c>
      <c r="N414" s="293">
        <v>28.173999999999999</v>
      </c>
      <c r="O414" s="290" t="s">
        <v>184</v>
      </c>
      <c r="P414" s="293">
        <v>73</v>
      </c>
      <c r="Q414" s="294">
        <v>607.16999999999996</v>
      </c>
      <c r="R414" s="294">
        <v>0</v>
      </c>
      <c r="S414" s="294">
        <v>0</v>
      </c>
      <c r="T414" s="294">
        <v>0</v>
      </c>
      <c r="U414" s="294">
        <v>607.16999999999996</v>
      </c>
    </row>
    <row r="415" spans="1:21" hidden="1" x14ac:dyDescent="0.25">
      <c r="A415" s="291">
        <v>371187</v>
      </c>
      <c r="B415" s="290" t="s">
        <v>177</v>
      </c>
      <c r="C415" s="292">
        <v>39237</v>
      </c>
      <c r="D415" s="292">
        <v>39237.333333333336</v>
      </c>
      <c r="E415" s="290" t="s">
        <v>190</v>
      </c>
      <c r="F415" s="290" t="s">
        <v>269</v>
      </c>
      <c r="G415" s="290" t="s">
        <v>251</v>
      </c>
      <c r="H415" s="290" t="s">
        <v>181</v>
      </c>
      <c r="I415" s="290" t="s">
        <v>182</v>
      </c>
      <c r="J415" s="290" t="s">
        <v>183</v>
      </c>
      <c r="K415" s="290" t="s">
        <v>183</v>
      </c>
      <c r="L415" s="293">
        <v>0</v>
      </c>
      <c r="M415" s="293">
        <v>29.643999999999998</v>
      </c>
      <c r="N415" s="293">
        <v>38.479999999999997</v>
      </c>
      <c r="O415" s="290" t="s">
        <v>184</v>
      </c>
      <c r="P415" s="293">
        <v>23</v>
      </c>
      <c r="Q415" s="294">
        <v>191.3</v>
      </c>
      <c r="R415" s="294">
        <v>0</v>
      </c>
      <c r="S415" s="294">
        <v>0</v>
      </c>
      <c r="T415" s="294">
        <v>0</v>
      </c>
      <c r="U415" s="294">
        <v>191.3</v>
      </c>
    </row>
    <row r="416" spans="1:21" hidden="1" x14ac:dyDescent="0.25">
      <c r="A416" s="291">
        <v>370714</v>
      </c>
      <c r="B416" s="290" t="s">
        <v>185</v>
      </c>
      <c r="C416" s="292">
        <v>39233</v>
      </c>
      <c r="D416" s="292">
        <v>39233.333333333336</v>
      </c>
      <c r="E416" s="290" t="s">
        <v>186</v>
      </c>
      <c r="F416" s="290" t="s">
        <v>256</v>
      </c>
      <c r="G416" s="290" t="s">
        <v>251</v>
      </c>
      <c r="H416" s="290" t="s">
        <v>181</v>
      </c>
      <c r="I416" s="290" t="s">
        <v>182</v>
      </c>
      <c r="J416" s="290" t="s">
        <v>183</v>
      </c>
      <c r="K416" s="290" t="s">
        <v>183</v>
      </c>
      <c r="L416" s="293">
        <v>0</v>
      </c>
      <c r="M416" s="293">
        <v>0</v>
      </c>
      <c r="N416" s="293">
        <v>28.173999999999999</v>
      </c>
      <c r="O416" s="290" t="s">
        <v>184</v>
      </c>
      <c r="P416" s="293">
        <v>1.46</v>
      </c>
      <c r="Q416" s="294">
        <v>67.77</v>
      </c>
      <c r="R416" s="294">
        <v>18.97</v>
      </c>
      <c r="S416" s="294">
        <v>0</v>
      </c>
      <c r="T416" s="294">
        <v>0</v>
      </c>
      <c r="U416" s="294">
        <v>86.74</v>
      </c>
    </row>
    <row r="417" spans="1:21" hidden="1" x14ac:dyDescent="0.25">
      <c r="A417" s="291">
        <v>370714</v>
      </c>
      <c r="B417" s="290" t="s">
        <v>185</v>
      </c>
      <c r="C417" s="292">
        <v>39233</v>
      </c>
      <c r="D417" s="292">
        <v>39233.333333333336</v>
      </c>
      <c r="E417" s="290" t="s">
        <v>186</v>
      </c>
      <c r="F417" s="290" t="s">
        <v>256</v>
      </c>
      <c r="G417" s="290" t="s">
        <v>251</v>
      </c>
      <c r="H417" s="290" t="s">
        <v>181</v>
      </c>
      <c r="I417" s="290" t="s">
        <v>182</v>
      </c>
      <c r="J417" s="290" t="s">
        <v>183</v>
      </c>
      <c r="K417" s="290" t="s">
        <v>183</v>
      </c>
      <c r="L417" s="293">
        <v>0</v>
      </c>
      <c r="M417" s="293">
        <v>29.643999999999998</v>
      </c>
      <c r="N417" s="293">
        <v>38.479999999999997</v>
      </c>
      <c r="O417" s="290" t="s">
        <v>184</v>
      </c>
      <c r="P417" s="293">
        <v>0.46</v>
      </c>
      <c r="Q417" s="294">
        <v>21.35</v>
      </c>
      <c r="R417" s="294">
        <v>5.98</v>
      </c>
      <c r="S417" s="294">
        <v>0</v>
      </c>
      <c r="T417" s="294">
        <v>0</v>
      </c>
      <c r="U417" s="294">
        <v>27.33</v>
      </c>
    </row>
    <row r="418" spans="1:21" hidden="1" x14ac:dyDescent="0.25">
      <c r="A418" s="291">
        <v>358784</v>
      </c>
      <c r="B418" s="290" t="s">
        <v>185</v>
      </c>
      <c r="C418" s="292">
        <v>39201</v>
      </c>
      <c r="D418" s="292">
        <v>39201.333333333336</v>
      </c>
      <c r="E418" s="290" t="s">
        <v>186</v>
      </c>
      <c r="F418" s="290" t="s">
        <v>270</v>
      </c>
      <c r="G418" s="290" t="s">
        <v>251</v>
      </c>
      <c r="H418" s="290" t="s">
        <v>181</v>
      </c>
      <c r="I418" s="290" t="s">
        <v>182</v>
      </c>
      <c r="J418" s="290" t="s">
        <v>183</v>
      </c>
      <c r="K418" s="290" t="s">
        <v>183</v>
      </c>
      <c r="L418" s="293">
        <v>0</v>
      </c>
      <c r="M418" s="293">
        <v>0</v>
      </c>
      <c r="N418" s="293">
        <v>28.173999999999999</v>
      </c>
      <c r="O418" s="290" t="s">
        <v>184</v>
      </c>
      <c r="P418" s="293">
        <v>0</v>
      </c>
      <c r="Q418" s="294">
        <v>0</v>
      </c>
      <c r="R418" s="294">
        <v>0</v>
      </c>
      <c r="S418" s="294">
        <v>0</v>
      </c>
      <c r="T418" s="294">
        <v>0</v>
      </c>
      <c r="U418" s="294">
        <v>0</v>
      </c>
    </row>
    <row r="419" spans="1:21" hidden="1" x14ac:dyDescent="0.25">
      <c r="A419" s="291">
        <v>358784</v>
      </c>
      <c r="B419" s="290" t="s">
        <v>185</v>
      </c>
      <c r="C419" s="292">
        <v>39201</v>
      </c>
      <c r="D419" s="292">
        <v>39201.333333333336</v>
      </c>
      <c r="E419" s="290" t="s">
        <v>186</v>
      </c>
      <c r="F419" s="290" t="s">
        <v>270</v>
      </c>
      <c r="G419" s="290" t="s">
        <v>251</v>
      </c>
      <c r="H419" s="290" t="s">
        <v>181</v>
      </c>
      <c r="I419" s="290" t="s">
        <v>182</v>
      </c>
      <c r="J419" s="290" t="s">
        <v>183</v>
      </c>
      <c r="K419" s="290" t="s">
        <v>183</v>
      </c>
      <c r="L419" s="293">
        <v>0</v>
      </c>
      <c r="M419" s="293">
        <v>29.643999999999998</v>
      </c>
      <c r="N419" s="293">
        <v>38.479999999999997</v>
      </c>
      <c r="O419" s="290" t="s">
        <v>184</v>
      </c>
      <c r="P419" s="293">
        <v>0</v>
      </c>
      <c r="Q419" s="294">
        <v>0</v>
      </c>
      <c r="R419" s="294">
        <v>0</v>
      </c>
      <c r="S419" s="294">
        <v>0</v>
      </c>
      <c r="T419" s="294">
        <v>0</v>
      </c>
      <c r="U419" s="294">
        <v>0</v>
      </c>
    </row>
    <row r="420" spans="1:21" hidden="1" x14ac:dyDescent="0.25">
      <c r="A420" s="291">
        <v>358041</v>
      </c>
      <c r="B420" s="290" t="s">
        <v>185</v>
      </c>
      <c r="C420" s="292">
        <v>39197</v>
      </c>
      <c r="D420" s="292">
        <v>39197.333333333336</v>
      </c>
      <c r="E420" s="290" t="s">
        <v>186</v>
      </c>
      <c r="F420" s="290" t="s">
        <v>270</v>
      </c>
      <c r="G420" s="290" t="s">
        <v>251</v>
      </c>
      <c r="H420" s="290" t="s">
        <v>181</v>
      </c>
      <c r="I420" s="290" t="s">
        <v>182</v>
      </c>
      <c r="J420" s="290" t="s">
        <v>183</v>
      </c>
      <c r="K420" s="290" t="s">
        <v>183</v>
      </c>
      <c r="L420" s="293">
        <v>0</v>
      </c>
      <c r="M420" s="293">
        <v>0</v>
      </c>
      <c r="N420" s="293">
        <v>28.173999999999999</v>
      </c>
      <c r="O420" s="290" t="s">
        <v>184</v>
      </c>
      <c r="P420" s="293">
        <v>33.58</v>
      </c>
      <c r="Q420" s="294">
        <v>271.08999999999997</v>
      </c>
      <c r="R420" s="294">
        <v>75.86</v>
      </c>
      <c r="S420" s="294">
        <v>0</v>
      </c>
      <c r="T420" s="294">
        <v>0</v>
      </c>
      <c r="U420" s="294">
        <v>346.95</v>
      </c>
    </row>
    <row r="421" spans="1:21" hidden="1" x14ac:dyDescent="0.25">
      <c r="A421" s="291">
        <v>358041</v>
      </c>
      <c r="B421" s="290" t="s">
        <v>185</v>
      </c>
      <c r="C421" s="292">
        <v>39197</v>
      </c>
      <c r="D421" s="292">
        <v>39197.333333333336</v>
      </c>
      <c r="E421" s="290" t="s">
        <v>186</v>
      </c>
      <c r="F421" s="290" t="s">
        <v>270</v>
      </c>
      <c r="G421" s="290" t="s">
        <v>251</v>
      </c>
      <c r="H421" s="290" t="s">
        <v>181</v>
      </c>
      <c r="I421" s="290" t="s">
        <v>182</v>
      </c>
      <c r="J421" s="290" t="s">
        <v>183</v>
      </c>
      <c r="K421" s="290" t="s">
        <v>183</v>
      </c>
      <c r="L421" s="293">
        <v>0</v>
      </c>
      <c r="M421" s="293">
        <v>29.643999999999998</v>
      </c>
      <c r="N421" s="293">
        <v>38.479999999999997</v>
      </c>
      <c r="O421" s="290" t="s">
        <v>184</v>
      </c>
      <c r="P421" s="293">
        <v>10.58</v>
      </c>
      <c r="Q421" s="294">
        <v>85.41</v>
      </c>
      <c r="R421" s="294">
        <v>23.9</v>
      </c>
      <c r="S421" s="294">
        <v>0</v>
      </c>
      <c r="T421" s="294">
        <v>0</v>
      </c>
      <c r="U421" s="294">
        <v>109.31</v>
      </c>
    </row>
    <row r="422" spans="1:21" hidden="1" x14ac:dyDescent="0.25">
      <c r="A422" s="291">
        <v>357025</v>
      </c>
      <c r="B422" s="290" t="s">
        <v>185</v>
      </c>
      <c r="C422" s="292">
        <v>39196</v>
      </c>
      <c r="D422" s="292">
        <v>39196.333333333336</v>
      </c>
      <c r="E422" s="290" t="s">
        <v>225</v>
      </c>
      <c r="F422" s="290" t="s">
        <v>270</v>
      </c>
      <c r="G422" s="290" t="s">
        <v>251</v>
      </c>
      <c r="H422" s="290" t="s">
        <v>197</v>
      </c>
      <c r="I422" s="290" t="s">
        <v>182</v>
      </c>
      <c r="J422" s="290" t="s">
        <v>183</v>
      </c>
      <c r="K422" s="290" t="s">
        <v>183</v>
      </c>
      <c r="L422" s="293">
        <v>0</v>
      </c>
      <c r="M422" s="293">
        <v>0</v>
      </c>
      <c r="N422" s="293">
        <v>28.173999999999999</v>
      </c>
      <c r="O422" s="290" t="s">
        <v>184</v>
      </c>
      <c r="P422" s="293">
        <v>0</v>
      </c>
      <c r="Q422" s="294">
        <v>0</v>
      </c>
      <c r="R422" s="294">
        <v>0</v>
      </c>
      <c r="S422" s="294">
        <v>0</v>
      </c>
      <c r="T422" s="294">
        <v>0</v>
      </c>
      <c r="U422" s="294">
        <v>0</v>
      </c>
    </row>
    <row r="423" spans="1:21" hidden="1" x14ac:dyDescent="0.25">
      <c r="A423" s="291">
        <v>357025</v>
      </c>
      <c r="B423" s="290" t="s">
        <v>185</v>
      </c>
      <c r="C423" s="292">
        <v>39196</v>
      </c>
      <c r="D423" s="292">
        <v>39196.333333333336</v>
      </c>
      <c r="E423" s="290" t="s">
        <v>225</v>
      </c>
      <c r="F423" s="290" t="s">
        <v>270</v>
      </c>
      <c r="G423" s="290" t="s">
        <v>251</v>
      </c>
      <c r="H423" s="290" t="s">
        <v>197</v>
      </c>
      <c r="I423" s="290" t="s">
        <v>182</v>
      </c>
      <c r="J423" s="290" t="s">
        <v>183</v>
      </c>
      <c r="K423" s="290" t="s">
        <v>183</v>
      </c>
      <c r="L423" s="293">
        <v>0</v>
      </c>
      <c r="M423" s="293">
        <v>29.643999999999998</v>
      </c>
      <c r="N423" s="293">
        <v>38.479999999999997</v>
      </c>
      <c r="O423" s="290" t="s">
        <v>184</v>
      </c>
      <c r="P423" s="293">
        <v>0</v>
      </c>
      <c r="Q423" s="294">
        <v>0</v>
      </c>
      <c r="R423" s="294">
        <v>0</v>
      </c>
      <c r="S423" s="294">
        <v>0</v>
      </c>
      <c r="T423" s="294">
        <v>0</v>
      </c>
      <c r="U423" s="294">
        <v>0</v>
      </c>
    </row>
    <row r="424" spans="1:21" hidden="1" x14ac:dyDescent="0.25">
      <c r="A424" s="291">
        <v>355093</v>
      </c>
      <c r="B424" s="290" t="s">
        <v>177</v>
      </c>
      <c r="C424" s="292">
        <v>39191</v>
      </c>
      <c r="D424" s="292">
        <v>39191.333333333336</v>
      </c>
      <c r="E424" s="290" t="s">
        <v>190</v>
      </c>
      <c r="F424" s="290" t="s">
        <v>267</v>
      </c>
      <c r="G424" s="290" t="s">
        <v>251</v>
      </c>
      <c r="H424" s="290" t="s">
        <v>181</v>
      </c>
      <c r="I424" s="290" t="s">
        <v>182</v>
      </c>
      <c r="J424" s="290" t="s">
        <v>183</v>
      </c>
      <c r="K424" s="290" t="s">
        <v>183</v>
      </c>
      <c r="L424" s="293">
        <v>0</v>
      </c>
      <c r="M424" s="293">
        <v>0</v>
      </c>
      <c r="N424" s="293">
        <v>28.173999999999999</v>
      </c>
      <c r="O424" s="290" t="s">
        <v>184</v>
      </c>
      <c r="P424" s="293">
        <v>49.64</v>
      </c>
      <c r="Q424" s="294">
        <v>1108.52</v>
      </c>
      <c r="R424" s="294">
        <v>448.8</v>
      </c>
      <c r="S424" s="294">
        <v>0</v>
      </c>
      <c r="T424" s="294">
        <v>0</v>
      </c>
      <c r="U424" s="294">
        <v>1557.32</v>
      </c>
    </row>
    <row r="425" spans="1:21" hidden="1" x14ac:dyDescent="0.25">
      <c r="A425" s="291">
        <v>355093</v>
      </c>
      <c r="B425" s="290" t="s">
        <v>177</v>
      </c>
      <c r="C425" s="292">
        <v>39191</v>
      </c>
      <c r="D425" s="292">
        <v>39191.333333333336</v>
      </c>
      <c r="E425" s="290" t="s">
        <v>190</v>
      </c>
      <c r="F425" s="290" t="s">
        <v>267</v>
      </c>
      <c r="G425" s="290" t="s">
        <v>251</v>
      </c>
      <c r="H425" s="290" t="s">
        <v>181</v>
      </c>
      <c r="I425" s="290" t="s">
        <v>182</v>
      </c>
      <c r="J425" s="290" t="s">
        <v>183</v>
      </c>
      <c r="K425" s="290" t="s">
        <v>183</v>
      </c>
      <c r="L425" s="293">
        <v>0</v>
      </c>
      <c r="M425" s="293">
        <v>29.643999999999998</v>
      </c>
      <c r="N425" s="293">
        <v>38.479999999999997</v>
      </c>
      <c r="O425" s="290" t="s">
        <v>184</v>
      </c>
      <c r="P425" s="293">
        <v>15.64</v>
      </c>
      <c r="Q425" s="294">
        <v>349.26</v>
      </c>
      <c r="R425" s="294">
        <v>141.4</v>
      </c>
      <c r="S425" s="294">
        <v>0</v>
      </c>
      <c r="T425" s="294">
        <v>0</v>
      </c>
      <c r="U425" s="294">
        <v>490.66</v>
      </c>
    </row>
    <row r="426" spans="1:21" hidden="1" x14ac:dyDescent="0.25">
      <c r="A426" s="291">
        <v>354797</v>
      </c>
      <c r="B426" s="290" t="s">
        <v>185</v>
      </c>
      <c r="C426" s="292">
        <v>39189</v>
      </c>
      <c r="D426" s="292">
        <v>39189.333333333336</v>
      </c>
      <c r="E426" s="290" t="s">
        <v>186</v>
      </c>
      <c r="F426" s="290" t="s">
        <v>256</v>
      </c>
      <c r="G426" s="290" t="s">
        <v>251</v>
      </c>
      <c r="H426" s="290" t="s">
        <v>181</v>
      </c>
      <c r="I426" s="290" t="s">
        <v>182</v>
      </c>
      <c r="J426" s="290" t="s">
        <v>183</v>
      </c>
      <c r="K426" s="290" t="s">
        <v>183</v>
      </c>
      <c r="L426" s="293">
        <v>0</v>
      </c>
      <c r="M426" s="293">
        <v>0</v>
      </c>
      <c r="N426" s="293">
        <v>28.173999999999999</v>
      </c>
      <c r="O426" s="290" t="s">
        <v>184</v>
      </c>
      <c r="P426" s="293">
        <v>5.1100000000000003</v>
      </c>
      <c r="Q426" s="294">
        <v>101.66</v>
      </c>
      <c r="R426" s="294">
        <v>28.45</v>
      </c>
      <c r="S426" s="294">
        <v>0</v>
      </c>
      <c r="T426" s="294">
        <v>0</v>
      </c>
      <c r="U426" s="294">
        <v>130.11000000000001</v>
      </c>
    </row>
    <row r="427" spans="1:21" hidden="1" x14ac:dyDescent="0.25">
      <c r="A427" s="291">
        <v>354797</v>
      </c>
      <c r="B427" s="290" t="s">
        <v>185</v>
      </c>
      <c r="C427" s="292">
        <v>39189</v>
      </c>
      <c r="D427" s="292">
        <v>39189.333333333336</v>
      </c>
      <c r="E427" s="290" t="s">
        <v>186</v>
      </c>
      <c r="F427" s="290" t="s">
        <v>256</v>
      </c>
      <c r="G427" s="290" t="s">
        <v>251</v>
      </c>
      <c r="H427" s="290" t="s">
        <v>181</v>
      </c>
      <c r="I427" s="290" t="s">
        <v>182</v>
      </c>
      <c r="J427" s="290" t="s">
        <v>183</v>
      </c>
      <c r="K427" s="290" t="s">
        <v>183</v>
      </c>
      <c r="L427" s="293">
        <v>0</v>
      </c>
      <c r="M427" s="293">
        <v>29.643999999999998</v>
      </c>
      <c r="N427" s="293">
        <v>38.479999999999997</v>
      </c>
      <c r="O427" s="290" t="s">
        <v>184</v>
      </c>
      <c r="P427" s="293">
        <v>1.61</v>
      </c>
      <c r="Q427" s="294">
        <v>32.03</v>
      </c>
      <c r="R427" s="294">
        <v>8.9600000000000009</v>
      </c>
      <c r="S427" s="294">
        <v>0</v>
      </c>
      <c r="T427" s="294">
        <v>0</v>
      </c>
      <c r="U427" s="294">
        <v>40.99</v>
      </c>
    </row>
    <row r="428" spans="1:21" hidden="1" x14ac:dyDescent="0.25">
      <c r="A428" s="291">
        <v>353787</v>
      </c>
      <c r="B428" s="290" t="s">
        <v>185</v>
      </c>
      <c r="C428" s="292">
        <v>39185</v>
      </c>
      <c r="D428" s="292">
        <v>39185.333333333336</v>
      </c>
      <c r="E428" s="290" t="s">
        <v>186</v>
      </c>
      <c r="F428" s="290" t="s">
        <v>270</v>
      </c>
      <c r="G428" s="290" t="s">
        <v>251</v>
      </c>
      <c r="H428" s="290" t="s">
        <v>181</v>
      </c>
      <c r="I428" s="290" t="s">
        <v>182</v>
      </c>
      <c r="J428" s="290" t="s">
        <v>183</v>
      </c>
      <c r="K428" s="290" t="s">
        <v>183</v>
      </c>
      <c r="L428" s="293">
        <v>0</v>
      </c>
      <c r="M428" s="293">
        <v>0</v>
      </c>
      <c r="N428" s="293">
        <v>28.173999999999999</v>
      </c>
      <c r="O428" s="290" t="s">
        <v>184</v>
      </c>
      <c r="P428" s="293">
        <v>61.32</v>
      </c>
      <c r="Q428" s="294">
        <v>271.08999999999997</v>
      </c>
      <c r="R428" s="294">
        <v>75.86</v>
      </c>
      <c r="S428" s="294">
        <v>0</v>
      </c>
      <c r="T428" s="294">
        <v>0</v>
      </c>
      <c r="U428" s="294">
        <v>346.95</v>
      </c>
    </row>
    <row r="429" spans="1:21" hidden="1" x14ac:dyDescent="0.25">
      <c r="A429" s="291">
        <v>353787</v>
      </c>
      <c r="B429" s="290" t="s">
        <v>185</v>
      </c>
      <c r="C429" s="292">
        <v>39185</v>
      </c>
      <c r="D429" s="292">
        <v>39185.333333333336</v>
      </c>
      <c r="E429" s="290" t="s">
        <v>186</v>
      </c>
      <c r="F429" s="290" t="s">
        <v>270</v>
      </c>
      <c r="G429" s="290" t="s">
        <v>251</v>
      </c>
      <c r="H429" s="290" t="s">
        <v>181</v>
      </c>
      <c r="I429" s="290" t="s">
        <v>182</v>
      </c>
      <c r="J429" s="290" t="s">
        <v>183</v>
      </c>
      <c r="K429" s="290" t="s">
        <v>183</v>
      </c>
      <c r="L429" s="293">
        <v>0</v>
      </c>
      <c r="M429" s="293">
        <v>29.643999999999998</v>
      </c>
      <c r="N429" s="293">
        <v>38.479999999999997</v>
      </c>
      <c r="O429" s="290" t="s">
        <v>184</v>
      </c>
      <c r="P429" s="293">
        <v>19.32</v>
      </c>
      <c r="Q429" s="294">
        <v>85.41</v>
      </c>
      <c r="R429" s="294">
        <v>23.9</v>
      </c>
      <c r="S429" s="294">
        <v>0</v>
      </c>
      <c r="T429" s="294">
        <v>0</v>
      </c>
      <c r="U429" s="294">
        <v>109.31</v>
      </c>
    </row>
    <row r="430" spans="1:21" hidden="1" x14ac:dyDescent="0.25">
      <c r="A430" s="291">
        <v>353290</v>
      </c>
      <c r="B430" s="290" t="s">
        <v>185</v>
      </c>
      <c r="C430" s="292">
        <v>39184</v>
      </c>
      <c r="D430" s="292">
        <v>39184.333333333336</v>
      </c>
      <c r="E430" s="290" t="s">
        <v>271</v>
      </c>
      <c r="F430" s="290" t="s">
        <v>254</v>
      </c>
      <c r="G430" s="290" t="s">
        <v>251</v>
      </c>
      <c r="H430" s="290" t="s">
        <v>181</v>
      </c>
      <c r="I430" s="290" t="s">
        <v>182</v>
      </c>
      <c r="J430" s="290" t="s">
        <v>183</v>
      </c>
      <c r="K430" s="290" t="s">
        <v>183</v>
      </c>
      <c r="L430" s="293">
        <v>0</v>
      </c>
      <c r="M430" s="293">
        <v>0</v>
      </c>
      <c r="N430" s="293">
        <v>28.173999999999999</v>
      </c>
      <c r="O430" s="290" t="s">
        <v>184</v>
      </c>
      <c r="P430" s="293">
        <v>15.88</v>
      </c>
      <c r="Q430" s="294">
        <v>101.66</v>
      </c>
      <c r="R430" s="294">
        <v>74.88</v>
      </c>
      <c r="S430" s="294">
        <v>0</v>
      </c>
      <c r="T430" s="294">
        <v>0</v>
      </c>
      <c r="U430" s="294">
        <v>176.54</v>
      </c>
    </row>
    <row r="431" spans="1:21" hidden="1" x14ac:dyDescent="0.25">
      <c r="A431" s="291">
        <v>353290</v>
      </c>
      <c r="B431" s="290" t="s">
        <v>185</v>
      </c>
      <c r="C431" s="292">
        <v>39184</v>
      </c>
      <c r="D431" s="292">
        <v>39184.333333333336</v>
      </c>
      <c r="E431" s="290" t="s">
        <v>271</v>
      </c>
      <c r="F431" s="290" t="s">
        <v>254</v>
      </c>
      <c r="G431" s="290" t="s">
        <v>251</v>
      </c>
      <c r="H431" s="290" t="s">
        <v>181</v>
      </c>
      <c r="I431" s="290" t="s">
        <v>182</v>
      </c>
      <c r="J431" s="290" t="s">
        <v>183</v>
      </c>
      <c r="K431" s="290" t="s">
        <v>183</v>
      </c>
      <c r="L431" s="293">
        <v>0</v>
      </c>
      <c r="M431" s="293">
        <v>29.643999999999998</v>
      </c>
      <c r="N431" s="293">
        <v>38.479999999999997</v>
      </c>
      <c r="O431" s="290" t="s">
        <v>184</v>
      </c>
      <c r="P431" s="293">
        <v>5</v>
      </c>
      <c r="Q431" s="294">
        <v>32.03</v>
      </c>
      <c r="R431" s="294">
        <v>23.59</v>
      </c>
      <c r="S431" s="294">
        <v>0</v>
      </c>
      <c r="T431" s="294">
        <v>0</v>
      </c>
      <c r="U431" s="294">
        <v>55.62</v>
      </c>
    </row>
    <row r="432" spans="1:21" hidden="1" x14ac:dyDescent="0.25">
      <c r="A432" s="291">
        <v>353283</v>
      </c>
      <c r="B432" s="290" t="s">
        <v>185</v>
      </c>
      <c r="C432" s="292">
        <v>39184</v>
      </c>
      <c r="D432" s="292">
        <v>39184.333333333336</v>
      </c>
      <c r="E432" s="290" t="s">
        <v>186</v>
      </c>
      <c r="F432" s="290" t="s">
        <v>270</v>
      </c>
      <c r="G432" s="290" t="s">
        <v>251</v>
      </c>
      <c r="H432" s="290" t="s">
        <v>181</v>
      </c>
      <c r="I432" s="290" t="s">
        <v>182</v>
      </c>
      <c r="J432" s="290" t="s">
        <v>183</v>
      </c>
      <c r="K432" s="290" t="s">
        <v>183</v>
      </c>
      <c r="L432" s="293">
        <v>0</v>
      </c>
      <c r="M432" s="293">
        <v>0</v>
      </c>
      <c r="N432" s="293">
        <v>28.173999999999999</v>
      </c>
      <c r="O432" s="290" t="s">
        <v>184</v>
      </c>
      <c r="P432" s="293">
        <v>65.7</v>
      </c>
      <c r="Q432" s="294">
        <v>542.19000000000005</v>
      </c>
      <c r="R432" s="294">
        <v>235.29</v>
      </c>
      <c r="S432" s="294">
        <v>0</v>
      </c>
      <c r="T432" s="294">
        <v>0</v>
      </c>
      <c r="U432" s="294">
        <v>777.48</v>
      </c>
    </row>
    <row r="433" spans="1:21" hidden="1" x14ac:dyDescent="0.25">
      <c r="A433" s="291">
        <v>353283</v>
      </c>
      <c r="B433" s="290" t="s">
        <v>185</v>
      </c>
      <c r="C433" s="292">
        <v>39184</v>
      </c>
      <c r="D433" s="292">
        <v>39184.333333333336</v>
      </c>
      <c r="E433" s="290" t="s">
        <v>186</v>
      </c>
      <c r="F433" s="290" t="s">
        <v>270</v>
      </c>
      <c r="G433" s="290" t="s">
        <v>251</v>
      </c>
      <c r="H433" s="290" t="s">
        <v>181</v>
      </c>
      <c r="I433" s="290" t="s">
        <v>182</v>
      </c>
      <c r="J433" s="290" t="s">
        <v>183</v>
      </c>
      <c r="K433" s="290" t="s">
        <v>183</v>
      </c>
      <c r="L433" s="293">
        <v>0</v>
      </c>
      <c r="M433" s="293">
        <v>29.643999999999998</v>
      </c>
      <c r="N433" s="293">
        <v>38.479999999999997</v>
      </c>
      <c r="O433" s="290" t="s">
        <v>184</v>
      </c>
      <c r="P433" s="293">
        <v>20.7</v>
      </c>
      <c r="Q433" s="294">
        <v>170.83</v>
      </c>
      <c r="R433" s="294">
        <v>74.13</v>
      </c>
      <c r="S433" s="294">
        <v>0</v>
      </c>
      <c r="T433" s="294">
        <v>0</v>
      </c>
      <c r="U433" s="294">
        <v>244.96</v>
      </c>
    </row>
    <row r="434" spans="1:21" hidden="1" x14ac:dyDescent="0.25">
      <c r="A434" s="291">
        <v>352595</v>
      </c>
      <c r="B434" s="290" t="s">
        <v>185</v>
      </c>
      <c r="C434" s="292">
        <v>39183</v>
      </c>
      <c r="D434" s="292">
        <v>39183.333333333336</v>
      </c>
      <c r="E434" s="290" t="s">
        <v>186</v>
      </c>
      <c r="F434" s="290" t="s">
        <v>270</v>
      </c>
      <c r="G434" s="290" t="s">
        <v>251</v>
      </c>
      <c r="H434" s="290" t="s">
        <v>181</v>
      </c>
      <c r="I434" s="290" t="s">
        <v>182</v>
      </c>
      <c r="J434" s="290" t="s">
        <v>183</v>
      </c>
      <c r="K434" s="290" t="s">
        <v>183</v>
      </c>
      <c r="L434" s="293">
        <v>0</v>
      </c>
      <c r="M434" s="293">
        <v>0</v>
      </c>
      <c r="N434" s="293">
        <v>28.173999999999999</v>
      </c>
      <c r="O434" s="290" t="s">
        <v>184</v>
      </c>
      <c r="P434" s="293">
        <v>26.28</v>
      </c>
      <c r="Q434" s="294">
        <v>271.08999999999997</v>
      </c>
      <c r="R434" s="294">
        <v>75.86</v>
      </c>
      <c r="S434" s="294">
        <v>0</v>
      </c>
      <c r="T434" s="294">
        <v>0</v>
      </c>
      <c r="U434" s="294">
        <v>346.95</v>
      </c>
    </row>
    <row r="435" spans="1:21" hidden="1" x14ac:dyDescent="0.25">
      <c r="A435" s="291">
        <v>352595</v>
      </c>
      <c r="B435" s="290" t="s">
        <v>185</v>
      </c>
      <c r="C435" s="292">
        <v>39183</v>
      </c>
      <c r="D435" s="292">
        <v>39183.333333333336</v>
      </c>
      <c r="E435" s="290" t="s">
        <v>186</v>
      </c>
      <c r="F435" s="290" t="s">
        <v>270</v>
      </c>
      <c r="G435" s="290" t="s">
        <v>251</v>
      </c>
      <c r="H435" s="290" t="s">
        <v>181</v>
      </c>
      <c r="I435" s="290" t="s">
        <v>182</v>
      </c>
      <c r="J435" s="290" t="s">
        <v>183</v>
      </c>
      <c r="K435" s="290" t="s">
        <v>183</v>
      </c>
      <c r="L435" s="293">
        <v>0</v>
      </c>
      <c r="M435" s="293">
        <v>29.643999999999998</v>
      </c>
      <c r="N435" s="293">
        <v>38.479999999999997</v>
      </c>
      <c r="O435" s="290" t="s">
        <v>184</v>
      </c>
      <c r="P435" s="293">
        <v>8.2799999999999994</v>
      </c>
      <c r="Q435" s="294">
        <v>85.41</v>
      </c>
      <c r="R435" s="294">
        <v>23.9</v>
      </c>
      <c r="S435" s="294">
        <v>0</v>
      </c>
      <c r="T435" s="294">
        <v>0</v>
      </c>
      <c r="U435" s="294">
        <v>109.31</v>
      </c>
    </row>
    <row r="436" spans="1:21" hidden="1" x14ac:dyDescent="0.25">
      <c r="A436" s="291">
        <v>348908</v>
      </c>
      <c r="B436" s="290" t="s">
        <v>185</v>
      </c>
      <c r="C436" s="292">
        <v>39171</v>
      </c>
      <c r="D436" s="292">
        <v>39171.333333333336</v>
      </c>
      <c r="E436" s="290" t="s">
        <v>271</v>
      </c>
      <c r="F436" s="290" t="s">
        <v>270</v>
      </c>
      <c r="G436" s="290" t="s">
        <v>251</v>
      </c>
      <c r="H436" s="290" t="s">
        <v>181</v>
      </c>
      <c r="I436" s="290" t="s">
        <v>182</v>
      </c>
      <c r="J436" s="290" t="s">
        <v>183</v>
      </c>
      <c r="K436" s="290" t="s">
        <v>183</v>
      </c>
      <c r="L436" s="293">
        <v>0</v>
      </c>
      <c r="M436" s="293">
        <v>0</v>
      </c>
      <c r="N436" s="293">
        <v>28.173999999999999</v>
      </c>
      <c r="O436" s="290" t="s">
        <v>184</v>
      </c>
      <c r="P436" s="293">
        <v>28.47</v>
      </c>
      <c r="Q436" s="294">
        <v>138.47</v>
      </c>
      <c r="R436" s="294">
        <v>37.93</v>
      </c>
      <c r="S436" s="294">
        <v>0</v>
      </c>
      <c r="T436" s="294">
        <v>0</v>
      </c>
      <c r="U436" s="294">
        <v>176.4</v>
      </c>
    </row>
    <row r="437" spans="1:21" hidden="1" x14ac:dyDescent="0.25">
      <c r="A437" s="291">
        <v>348908</v>
      </c>
      <c r="B437" s="290" t="s">
        <v>185</v>
      </c>
      <c r="C437" s="292">
        <v>39171</v>
      </c>
      <c r="D437" s="292">
        <v>39171.333333333336</v>
      </c>
      <c r="E437" s="290" t="s">
        <v>271</v>
      </c>
      <c r="F437" s="290" t="s">
        <v>270</v>
      </c>
      <c r="G437" s="290" t="s">
        <v>251</v>
      </c>
      <c r="H437" s="290" t="s">
        <v>181</v>
      </c>
      <c r="I437" s="290" t="s">
        <v>182</v>
      </c>
      <c r="J437" s="290" t="s">
        <v>183</v>
      </c>
      <c r="K437" s="290" t="s">
        <v>183</v>
      </c>
      <c r="L437" s="293">
        <v>0</v>
      </c>
      <c r="M437" s="293">
        <v>29.643999999999998</v>
      </c>
      <c r="N437" s="293">
        <v>38.479999999999997</v>
      </c>
      <c r="O437" s="290" t="s">
        <v>184</v>
      </c>
      <c r="P437" s="293">
        <v>8.9700000000000006</v>
      </c>
      <c r="Q437" s="294">
        <v>43.63</v>
      </c>
      <c r="R437" s="294">
        <v>11.95</v>
      </c>
      <c r="S437" s="294">
        <v>0</v>
      </c>
      <c r="T437" s="294">
        <v>0</v>
      </c>
      <c r="U437" s="294">
        <v>55.58</v>
      </c>
    </row>
    <row r="438" spans="1:21" hidden="1" x14ac:dyDescent="0.25">
      <c r="A438" s="291">
        <v>348873</v>
      </c>
      <c r="B438" s="290" t="s">
        <v>185</v>
      </c>
      <c r="C438" s="292">
        <v>39171</v>
      </c>
      <c r="D438" s="292">
        <v>39171.333333333336</v>
      </c>
      <c r="E438" s="290" t="s">
        <v>258</v>
      </c>
      <c r="F438" s="290" t="s">
        <v>272</v>
      </c>
      <c r="G438" s="290" t="s">
        <v>251</v>
      </c>
      <c r="H438" s="290" t="s">
        <v>260</v>
      </c>
      <c r="I438" s="290" t="s">
        <v>182</v>
      </c>
      <c r="J438" s="290" t="s">
        <v>183</v>
      </c>
      <c r="K438" s="290" t="s">
        <v>183</v>
      </c>
      <c r="L438" s="293">
        <v>0</v>
      </c>
      <c r="M438" s="293">
        <v>0</v>
      </c>
      <c r="N438" s="293">
        <v>28.173999999999999</v>
      </c>
      <c r="O438" s="290" t="s">
        <v>184</v>
      </c>
      <c r="P438" s="293">
        <v>0.73</v>
      </c>
      <c r="Q438" s="294">
        <v>34.54</v>
      </c>
      <c r="R438" s="294">
        <v>13.43</v>
      </c>
      <c r="S438" s="294">
        <v>0</v>
      </c>
      <c r="T438" s="294">
        <v>0</v>
      </c>
      <c r="U438" s="294">
        <v>47.98</v>
      </c>
    </row>
    <row r="439" spans="1:21" hidden="1" x14ac:dyDescent="0.25">
      <c r="A439" s="291">
        <v>348873</v>
      </c>
      <c r="B439" s="290" t="s">
        <v>185</v>
      </c>
      <c r="C439" s="292">
        <v>39171</v>
      </c>
      <c r="D439" s="292">
        <v>39171.333333333336</v>
      </c>
      <c r="E439" s="290" t="s">
        <v>258</v>
      </c>
      <c r="F439" s="290" t="s">
        <v>272</v>
      </c>
      <c r="G439" s="290" t="s">
        <v>251</v>
      </c>
      <c r="H439" s="290" t="s">
        <v>260</v>
      </c>
      <c r="I439" s="290" t="s">
        <v>182</v>
      </c>
      <c r="J439" s="290" t="s">
        <v>183</v>
      </c>
      <c r="K439" s="290" t="s">
        <v>183</v>
      </c>
      <c r="L439" s="293">
        <v>0</v>
      </c>
      <c r="M439" s="293">
        <v>29.643999999999998</v>
      </c>
      <c r="N439" s="293">
        <v>38.479999999999997</v>
      </c>
      <c r="O439" s="290" t="s">
        <v>184</v>
      </c>
      <c r="P439" s="293">
        <v>0.23</v>
      </c>
      <c r="Q439" s="294">
        <v>10.88</v>
      </c>
      <c r="R439" s="294">
        <v>4.2300000000000004</v>
      </c>
      <c r="S439" s="294">
        <v>0</v>
      </c>
      <c r="T439" s="294">
        <v>0</v>
      </c>
      <c r="U439" s="294">
        <v>15.12</v>
      </c>
    </row>
    <row r="440" spans="1:21" hidden="1" x14ac:dyDescent="0.25">
      <c r="A440" s="291">
        <v>348872</v>
      </c>
      <c r="B440" s="290" t="s">
        <v>185</v>
      </c>
      <c r="C440" s="292">
        <v>39171</v>
      </c>
      <c r="D440" s="292">
        <v>39171.333333333336</v>
      </c>
      <c r="E440" s="290" t="s">
        <v>258</v>
      </c>
      <c r="F440" s="290" t="s">
        <v>272</v>
      </c>
      <c r="G440" s="290" t="s">
        <v>251</v>
      </c>
      <c r="H440" s="290" t="s">
        <v>260</v>
      </c>
      <c r="I440" s="290" t="s">
        <v>182</v>
      </c>
      <c r="J440" s="290" t="s">
        <v>183</v>
      </c>
      <c r="K440" s="290" t="s">
        <v>183</v>
      </c>
      <c r="L440" s="293">
        <v>0</v>
      </c>
      <c r="M440" s="293">
        <v>0</v>
      </c>
      <c r="N440" s="293">
        <v>28.173999999999999</v>
      </c>
      <c r="O440" s="290" t="s">
        <v>184</v>
      </c>
      <c r="P440" s="293">
        <v>0.73</v>
      </c>
      <c r="Q440" s="294">
        <v>34.54</v>
      </c>
      <c r="R440" s="294">
        <v>13.43</v>
      </c>
      <c r="S440" s="294">
        <v>0</v>
      </c>
      <c r="T440" s="294">
        <v>0</v>
      </c>
      <c r="U440" s="294">
        <v>47.98</v>
      </c>
    </row>
    <row r="441" spans="1:21" hidden="1" x14ac:dyDescent="0.25">
      <c r="A441" s="291">
        <v>348872</v>
      </c>
      <c r="B441" s="290" t="s">
        <v>185</v>
      </c>
      <c r="C441" s="292">
        <v>39171</v>
      </c>
      <c r="D441" s="292">
        <v>39171.333333333336</v>
      </c>
      <c r="E441" s="290" t="s">
        <v>258</v>
      </c>
      <c r="F441" s="290" t="s">
        <v>272</v>
      </c>
      <c r="G441" s="290" t="s">
        <v>251</v>
      </c>
      <c r="H441" s="290" t="s">
        <v>260</v>
      </c>
      <c r="I441" s="290" t="s">
        <v>182</v>
      </c>
      <c r="J441" s="290" t="s">
        <v>183</v>
      </c>
      <c r="K441" s="290" t="s">
        <v>183</v>
      </c>
      <c r="L441" s="293">
        <v>0</v>
      </c>
      <c r="M441" s="293">
        <v>29.643999999999998</v>
      </c>
      <c r="N441" s="293">
        <v>38.479999999999997</v>
      </c>
      <c r="O441" s="290" t="s">
        <v>184</v>
      </c>
      <c r="P441" s="293">
        <v>0.23</v>
      </c>
      <c r="Q441" s="294">
        <v>10.88</v>
      </c>
      <c r="R441" s="294">
        <v>4.2300000000000004</v>
      </c>
      <c r="S441" s="294">
        <v>0</v>
      </c>
      <c r="T441" s="294">
        <v>0</v>
      </c>
      <c r="U441" s="294">
        <v>15.12</v>
      </c>
    </row>
    <row r="442" spans="1:21" hidden="1" x14ac:dyDescent="0.25">
      <c r="A442" s="291">
        <v>342484</v>
      </c>
      <c r="B442" s="290" t="s">
        <v>185</v>
      </c>
      <c r="C442" s="292">
        <v>39153</v>
      </c>
      <c r="D442" s="292">
        <v>39153.333333333336</v>
      </c>
      <c r="E442" s="290" t="s">
        <v>186</v>
      </c>
      <c r="F442" s="290" t="s">
        <v>256</v>
      </c>
      <c r="G442" s="290" t="s">
        <v>251</v>
      </c>
      <c r="H442" s="290" t="s">
        <v>181</v>
      </c>
      <c r="I442" s="290" t="s">
        <v>182</v>
      </c>
      <c r="J442" s="290" t="s">
        <v>183</v>
      </c>
      <c r="K442" s="290" t="s">
        <v>183</v>
      </c>
      <c r="L442" s="293">
        <v>0</v>
      </c>
      <c r="M442" s="293">
        <v>0</v>
      </c>
      <c r="N442" s="293">
        <v>28.173999999999999</v>
      </c>
      <c r="O442" s="290" t="s">
        <v>184</v>
      </c>
      <c r="P442" s="293">
        <v>0.73</v>
      </c>
      <c r="Q442" s="294">
        <v>69.23</v>
      </c>
      <c r="R442" s="294">
        <v>18.97</v>
      </c>
      <c r="S442" s="294">
        <v>0</v>
      </c>
      <c r="T442" s="294">
        <v>0</v>
      </c>
      <c r="U442" s="294">
        <v>88.2</v>
      </c>
    </row>
    <row r="443" spans="1:21" hidden="1" x14ac:dyDescent="0.25">
      <c r="A443" s="291">
        <v>342484</v>
      </c>
      <c r="B443" s="290" t="s">
        <v>185</v>
      </c>
      <c r="C443" s="292">
        <v>39153</v>
      </c>
      <c r="D443" s="292">
        <v>39153.333333333336</v>
      </c>
      <c r="E443" s="290" t="s">
        <v>186</v>
      </c>
      <c r="F443" s="290" t="s">
        <v>256</v>
      </c>
      <c r="G443" s="290" t="s">
        <v>251</v>
      </c>
      <c r="H443" s="290" t="s">
        <v>181</v>
      </c>
      <c r="I443" s="290" t="s">
        <v>182</v>
      </c>
      <c r="J443" s="290" t="s">
        <v>183</v>
      </c>
      <c r="K443" s="290" t="s">
        <v>183</v>
      </c>
      <c r="L443" s="293">
        <v>0</v>
      </c>
      <c r="M443" s="293">
        <v>29.643999999999998</v>
      </c>
      <c r="N443" s="293">
        <v>38.479999999999997</v>
      </c>
      <c r="O443" s="290" t="s">
        <v>184</v>
      </c>
      <c r="P443" s="293">
        <v>0.23</v>
      </c>
      <c r="Q443" s="294">
        <v>21.81</v>
      </c>
      <c r="R443" s="294">
        <v>5.98</v>
      </c>
      <c r="S443" s="294">
        <v>0</v>
      </c>
      <c r="T443" s="294">
        <v>0</v>
      </c>
      <c r="U443" s="294">
        <v>27.79</v>
      </c>
    </row>
    <row r="444" spans="1:21" hidden="1" x14ac:dyDescent="0.25">
      <c r="A444" s="291">
        <v>342482</v>
      </c>
      <c r="B444" s="290" t="s">
        <v>185</v>
      </c>
      <c r="C444" s="292">
        <v>39153</v>
      </c>
      <c r="D444" s="292">
        <v>39153.333333333336</v>
      </c>
      <c r="E444" s="290" t="s">
        <v>186</v>
      </c>
      <c r="F444" s="290" t="s">
        <v>270</v>
      </c>
      <c r="G444" s="290" t="s">
        <v>251</v>
      </c>
      <c r="H444" s="290" t="s">
        <v>181</v>
      </c>
      <c r="I444" s="290" t="s">
        <v>182</v>
      </c>
      <c r="J444" s="290" t="s">
        <v>183</v>
      </c>
      <c r="K444" s="290" t="s">
        <v>183</v>
      </c>
      <c r="L444" s="293">
        <v>0</v>
      </c>
      <c r="M444" s="293">
        <v>0</v>
      </c>
      <c r="N444" s="293">
        <v>28.173999999999999</v>
      </c>
      <c r="O444" s="290" t="s">
        <v>184</v>
      </c>
      <c r="P444" s="293">
        <v>2.19</v>
      </c>
      <c r="Q444" s="294">
        <v>34.619999999999997</v>
      </c>
      <c r="R444" s="294">
        <v>9.48</v>
      </c>
      <c r="S444" s="294">
        <v>0</v>
      </c>
      <c r="T444" s="294">
        <v>0</v>
      </c>
      <c r="U444" s="294">
        <v>44.1</v>
      </c>
    </row>
    <row r="445" spans="1:21" hidden="1" x14ac:dyDescent="0.25">
      <c r="A445" s="291">
        <v>342482</v>
      </c>
      <c r="B445" s="290" t="s">
        <v>185</v>
      </c>
      <c r="C445" s="292">
        <v>39153</v>
      </c>
      <c r="D445" s="292">
        <v>39153.333333333336</v>
      </c>
      <c r="E445" s="290" t="s">
        <v>186</v>
      </c>
      <c r="F445" s="290" t="s">
        <v>270</v>
      </c>
      <c r="G445" s="290" t="s">
        <v>251</v>
      </c>
      <c r="H445" s="290" t="s">
        <v>181</v>
      </c>
      <c r="I445" s="290" t="s">
        <v>182</v>
      </c>
      <c r="J445" s="290" t="s">
        <v>183</v>
      </c>
      <c r="K445" s="290" t="s">
        <v>183</v>
      </c>
      <c r="L445" s="293">
        <v>0</v>
      </c>
      <c r="M445" s="293">
        <v>29.643999999999998</v>
      </c>
      <c r="N445" s="293">
        <v>38.479999999999997</v>
      </c>
      <c r="O445" s="290" t="s">
        <v>184</v>
      </c>
      <c r="P445" s="293">
        <v>0.69</v>
      </c>
      <c r="Q445" s="294">
        <v>10.91</v>
      </c>
      <c r="R445" s="294">
        <v>2.99</v>
      </c>
      <c r="S445" s="294">
        <v>0</v>
      </c>
      <c r="T445" s="294">
        <v>0</v>
      </c>
      <c r="U445" s="294">
        <v>13.89</v>
      </c>
    </row>
    <row r="446" spans="1:21" hidden="1" x14ac:dyDescent="0.25">
      <c r="A446" s="291">
        <v>337605</v>
      </c>
      <c r="B446" s="290" t="s">
        <v>185</v>
      </c>
      <c r="C446" s="292">
        <v>39141</v>
      </c>
      <c r="D446" s="292">
        <v>39141.333333333336</v>
      </c>
      <c r="E446" s="290" t="s">
        <v>186</v>
      </c>
      <c r="F446" s="290" t="s">
        <v>270</v>
      </c>
      <c r="G446" s="290" t="s">
        <v>251</v>
      </c>
      <c r="H446" s="290" t="s">
        <v>181</v>
      </c>
      <c r="I446" s="290" t="s">
        <v>182</v>
      </c>
      <c r="J446" s="290" t="s">
        <v>183</v>
      </c>
      <c r="K446" s="290" t="s">
        <v>183</v>
      </c>
      <c r="L446" s="293">
        <v>0</v>
      </c>
      <c r="M446" s="293">
        <v>0</v>
      </c>
      <c r="N446" s="293">
        <v>28.173999999999999</v>
      </c>
      <c r="O446" s="290" t="s">
        <v>184</v>
      </c>
      <c r="P446" s="293">
        <v>4.0199999999999996</v>
      </c>
      <c r="Q446" s="294">
        <v>17.309999999999999</v>
      </c>
      <c r="R446" s="294">
        <v>10.28</v>
      </c>
      <c r="S446" s="294">
        <v>0</v>
      </c>
      <c r="T446" s="294">
        <v>0</v>
      </c>
      <c r="U446" s="294">
        <v>27.59</v>
      </c>
    </row>
    <row r="447" spans="1:21" hidden="1" x14ac:dyDescent="0.25">
      <c r="A447" s="291">
        <v>337605</v>
      </c>
      <c r="B447" s="290" t="s">
        <v>185</v>
      </c>
      <c r="C447" s="292">
        <v>39141</v>
      </c>
      <c r="D447" s="292">
        <v>39141.333333333336</v>
      </c>
      <c r="E447" s="290" t="s">
        <v>186</v>
      </c>
      <c r="F447" s="290" t="s">
        <v>270</v>
      </c>
      <c r="G447" s="290" t="s">
        <v>251</v>
      </c>
      <c r="H447" s="290" t="s">
        <v>181</v>
      </c>
      <c r="I447" s="290" t="s">
        <v>182</v>
      </c>
      <c r="J447" s="290" t="s">
        <v>183</v>
      </c>
      <c r="K447" s="290" t="s">
        <v>183</v>
      </c>
      <c r="L447" s="293">
        <v>0</v>
      </c>
      <c r="M447" s="293">
        <v>29.643999999999998</v>
      </c>
      <c r="N447" s="293">
        <v>38.479999999999997</v>
      </c>
      <c r="O447" s="290" t="s">
        <v>184</v>
      </c>
      <c r="P447" s="293">
        <v>1.27</v>
      </c>
      <c r="Q447" s="294">
        <v>5.45</v>
      </c>
      <c r="R447" s="294">
        <v>3.24</v>
      </c>
      <c r="S447" s="294">
        <v>0</v>
      </c>
      <c r="T447" s="294">
        <v>0</v>
      </c>
      <c r="U447" s="294">
        <v>8.69</v>
      </c>
    </row>
    <row r="448" spans="1:21" hidden="1" x14ac:dyDescent="0.25">
      <c r="A448" s="291">
        <v>336094</v>
      </c>
      <c r="B448" s="290" t="s">
        <v>177</v>
      </c>
      <c r="C448" s="292">
        <v>39139</v>
      </c>
      <c r="D448" s="292">
        <v>39139.333333333336</v>
      </c>
      <c r="E448" s="290" t="s">
        <v>190</v>
      </c>
      <c r="F448" s="290" t="s">
        <v>265</v>
      </c>
      <c r="G448" s="290" t="s">
        <v>251</v>
      </c>
      <c r="H448" s="290" t="s">
        <v>181</v>
      </c>
      <c r="I448" s="290" t="s">
        <v>182</v>
      </c>
      <c r="J448" s="290" t="s">
        <v>183</v>
      </c>
      <c r="K448" s="290" t="s">
        <v>183</v>
      </c>
      <c r="L448" s="293">
        <v>0</v>
      </c>
      <c r="M448" s="293">
        <v>0</v>
      </c>
      <c r="N448" s="293">
        <v>28.173999999999999</v>
      </c>
      <c r="O448" s="290" t="s">
        <v>184</v>
      </c>
      <c r="P448" s="293">
        <v>0.73</v>
      </c>
      <c r="Q448" s="294">
        <v>0</v>
      </c>
      <c r="R448" s="294">
        <v>0</v>
      </c>
      <c r="S448" s="294">
        <v>0</v>
      </c>
      <c r="T448" s="294">
        <v>0</v>
      </c>
      <c r="U448" s="294">
        <v>0</v>
      </c>
    </row>
    <row r="449" spans="1:21" hidden="1" x14ac:dyDescent="0.25">
      <c r="A449" s="291">
        <v>336094</v>
      </c>
      <c r="B449" s="290" t="s">
        <v>177</v>
      </c>
      <c r="C449" s="292">
        <v>39139</v>
      </c>
      <c r="D449" s="292">
        <v>39139.333333333336</v>
      </c>
      <c r="E449" s="290" t="s">
        <v>190</v>
      </c>
      <c r="F449" s="290" t="s">
        <v>265</v>
      </c>
      <c r="G449" s="290" t="s">
        <v>251</v>
      </c>
      <c r="H449" s="290" t="s">
        <v>181</v>
      </c>
      <c r="I449" s="290" t="s">
        <v>182</v>
      </c>
      <c r="J449" s="290" t="s">
        <v>183</v>
      </c>
      <c r="K449" s="290" t="s">
        <v>183</v>
      </c>
      <c r="L449" s="293">
        <v>0</v>
      </c>
      <c r="M449" s="293">
        <v>29.643999999999998</v>
      </c>
      <c r="N449" s="293">
        <v>38.479999999999997</v>
      </c>
      <c r="O449" s="290" t="s">
        <v>184</v>
      </c>
      <c r="P449" s="293">
        <v>0.23</v>
      </c>
      <c r="Q449" s="294">
        <v>0</v>
      </c>
      <c r="R449" s="294">
        <v>0</v>
      </c>
      <c r="S449" s="294">
        <v>0</v>
      </c>
      <c r="T449" s="294">
        <v>0</v>
      </c>
      <c r="U449" s="294">
        <v>0</v>
      </c>
    </row>
    <row r="450" spans="1:21" hidden="1" x14ac:dyDescent="0.25">
      <c r="A450" s="291">
        <v>325716</v>
      </c>
      <c r="B450" s="290" t="s">
        <v>185</v>
      </c>
      <c r="C450" s="292">
        <v>39107</v>
      </c>
      <c r="D450" s="292">
        <v>39107.333333333336</v>
      </c>
      <c r="E450" s="290" t="s">
        <v>186</v>
      </c>
      <c r="F450" s="290" t="s">
        <v>256</v>
      </c>
      <c r="G450" s="290" t="s">
        <v>251</v>
      </c>
      <c r="H450" s="290" t="s">
        <v>181</v>
      </c>
      <c r="I450" s="290" t="s">
        <v>182</v>
      </c>
      <c r="J450" s="290" t="s">
        <v>183</v>
      </c>
      <c r="K450" s="290" t="s">
        <v>183</v>
      </c>
      <c r="L450" s="293">
        <v>0</v>
      </c>
      <c r="M450" s="293">
        <v>0</v>
      </c>
      <c r="N450" s="293">
        <v>28.173999999999999</v>
      </c>
      <c r="O450" s="290" t="s">
        <v>184</v>
      </c>
      <c r="P450" s="293">
        <v>0</v>
      </c>
      <c r="Q450" s="294">
        <v>0</v>
      </c>
      <c r="R450" s="294">
        <v>0</v>
      </c>
      <c r="S450" s="294">
        <v>0</v>
      </c>
      <c r="T450" s="294">
        <v>0</v>
      </c>
      <c r="U450" s="294">
        <v>0</v>
      </c>
    </row>
    <row r="451" spans="1:21" hidden="1" x14ac:dyDescent="0.25">
      <c r="A451" s="291">
        <v>325716</v>
      </c>
      <c r="B451" s="290" t="s">
        <v>185</v>
      </c>
      <c r="C451" s="292">
        <v>39107</v>
      </c>
      <c r="D451" s="292">
        <v>39107.333333333336</v>
      </c>
      <c r="E451" s="290" t="s">
        <v>186</v>
      </c>
      <c r="F451" s="290" t="s">
        <v>256</v>
      </c>
      <c r="G451" s="290" t="s">
        <v>251</v>
      </c>
      <c r="H451" s="290" t="s">
        <v>181</v>
      </c>
      <c r="I451" s="290" t="s">
        <v>182</v>
      </c>
      <c r="J451" s="290" t="s">
        <v>183</v>
      </c>
      <c r="K451" s="290" t="s">
        <v>183</v>
      </c>
      <c r="L451" s="293">
        <v>0</v>
      </c>
      <c r="M451" s="293">
        <v>29.643999999999998</v>
      </c>
      <c r="N451" s="293">
        <v>38.479999999999997</v>
      </c>
      <c r="O451" s="290" t="s">
        <v>184</v>
      </c>
      <c r="P451" s="293">
        <v>0</v>
      </c>
      <c r="Q451" s="294">
        <v>0</v>
      </c>
      <c r="R451" s="294">
        <v>0</v>
      </c>
      <c r="S451" s="294">
        <v>0</v>
      </c>
      <c r="T451" s="294">
        <v>0</v>
      </c>
      <c r="U451" s="294">
        <v>0</v>
      </c>
    </row>
    <row r="452" spans="1:21" hidden="1" x14ac:dyDescent="0.25">
      <c r="A452" s="291">
        <v>317990</v>
      </c>
      <c r="B452" s="290" t="s">
        <v>177</v>
      </c>
      <c r="C452" s="292">
        <v>39086</v>
      </c>
      <c r="D452" s="292">
        <v>39094</v>
      </c>
      <c r="E452" s="290" t="s">
        <v>190</v>
      </c>
      <c r="F452" s="290" t="s">
        <v>273</v>
      </c>
      <c r="G452" s="290" t="s">
        <v>251</v>
      </c>
      <c r="H452" s="290" t="s">
        <v>181</v>
      </c>
      <c r="I452" s="290" t="s">
        <v>182</v>
      </c>
      <c r="J452" s="290" t="s">
        <v>183</v>
      </c>
      <c r="K452" s="290" t="s">
        <v>183</v>
      </c>
      <c r="L452" s="293">
        <v>0</v>
      </c>
      <c r="M452" s="293">
        <v>0</v>
      </c>
      <c r="N452" s="293">
        <v>28.173999999999999</v>
      </c>
      <c r="O452" s="290" t="s">
        <v>184</v>
      </c>
      <c r="P452" s="293">
        <v>14.6</v>
      </c>
      <c r="Q452" s="294">
        <v>393.73</v>
      </c>
      <c r="R452" s="294">
        <v>178.41</v>
      </c>
      <c r="S452" s="294">
        <v>250.02</v>
      </c>
      <c r="T452" s="294">
        <v>0</v>
      </c>
      <c r="U452" s="294">
        <v>822.16</v>
      </c>
    </row>
    <row r="453" spans="1:21" hidden="1" x14ac:dyDescent="0.25">
      <c r="A453" s="291">
        <v>317990</v>
      </c>
      <c r="B453" s="290" t="s">
        <v>177</v>
      </c>
      <c r="C453" s="292">
        <v>39086</v>
      </c>
      <c r="D453" s="292">
        <v>39094</v>
      </c>
      <c r="E453" s="290" t="s">
        <v>190</v>
      </c>
      <c r="F453" s="290" t="s">
        <v>273</v>
      </c>
      <c r="G453" s="290" t="s">
        <v>251</v>
      </c>
      <c r="H453" s="290" t="s">
        <v>181</v>
      </c>
      <c r="I453" s="290" t="s">
        <v>182</v>
      </c>
      <c r="J453" s="290" t="s">
        <v>183</v>
      </c>
      <c r="K453" s="290" t="s">
        <v>183</v>
      </c>
      <c r="L453" s="293">
        <v>0</v>
      </c>
      <c r="M453" s="293">
        <v>29.643999999999998</v>
      </c>
      <c r="N453" s="293">
        <v>38.479999999999997</v>
      </c>
      <c r="O453" s="290" t="s">
        <v>184</v>
      </c>
      <c r="P453" s="293">
        <v>4.5999999999999996</v>
      </c>
      <c r="Q453" s="294">
        <v>124.05</v>
      </c>
      <c r="R453" s="294">
        <v>56.21</v>
      </c>
      <c r="S453" s="294">
        <v>78.77</v>
      </c>
      <c r="T453" s="294">
        <v>0</v>
      </c>
      <c r="U453" s="294">
        <v>259.04000000000002</v>
      </c>
    </row>
    <row r="454" spans="1:21" hidden="1" x14ac:dyDescent="0.25">
      <c r="A454" s="291">
        <v>317116</v>
      </c>
      <c r="B454" s="290" t="s">
        <v>177</v>
      </c>
      <c r="C454" s="292">
        <v>39084</v>
      </c>
      <c r="D454" s="292">
        <v>39094</v>
      </c>
      <c r="E454" s="290" t="s">
        <v>190</v>
      </c>
      <c r="F454" s="290" t="s">
        <v>255</v>
      </c>
      <c r="G454" s="290" t="s">
        <v>251</v>
      </c>
      <c r="H454" s="290" t="s">
        <v>181</v>
      </c>
      <c r="I454" s="290" t="s">
        <v>182</v>
      </c>
      <c r="J454" s="290" t="s">
        <v>183</v>
      </c>
      <c r="K454" s="290" t="s">
        <v>183</v>
      </c>
      <c r="L454" s="293">
        <v>0</v>
      </c>
      <c r="M454" s="293">
        <v>0</v>
      </c>
      <c r="N454" s="293">
        <v>28.173999999999999</v>
      </c>
      <c r="O454" s="290" t="s">
        <v>184</v>
      </c>
      <c r="P454" s="293">
        <v>1460</v>
      </c>
      <c r="Q454" s="294">
        <v>728.13</v>
      </c>
      <c r="R454" s="294">
        <v>581.08000000000004</v>
      </c>
      <c r="S454" s="294">
        <v>84.18</v>
      </c>
      <c r="T454" s="294">
        <v>0</v>
      </c>
      <c r="U454" s="294">
        <v>1393.39</v>
      </c>
    </row>
    <row r="455" spans="1:21" hidden="1" x14ac:dyDescent="0.25">
      <c r="A455" s="291">
        <v>317116</v>
      </c>
      <c r="B455" s="290" t="s">
        <v>177</v>
      </c>
      <c r="C455" s="292">
        <v>39084</v>
      </c>
      <c r="D455" s="292">
        <v>39094</v>
      </c>
      <c r="E455" s="290" t="s">
        <v>190</v>
      </c>
      <c r="F455" s="290" t="s">
        <v>255</v>
      </c>
      <c r="G455" s="290" t="s">
        <v>251</v>
      </c>
      <c r="H455" s="290" t="s">
        <v>181</v>
      </c>
      <c r="I455" s="290" t="s">
        <v>182</v>
      </c>
      <c r="J455" s="290" t="s">
        <v>183</v>
      </c>
      <c r="K455" s="290" t="s">
        <v>183</v>
      </c>
      <c r="L455" s="293">
        <v>0</v>
      </c>
      <c r="M455" s="293">
        <v>29.643999999999998</v>
      </c>
      <c r="N455" s="293">
        <v>38.479999999999997</v>
      </c>
      <c r="O455" s="290" t="s">
        <v>184</v>
      </c>
      <c r="P455" s="293">
        <v>460</v>
      </c>
      <c r="Q455" s="294">
        <v>229.41</v>
      </c>
      <c r="R455" s="294">
        <v>183.08</v>
      </c>
      <c r="S455" s="294">
        <v>26.52</v>
      </c>
      <c r="T455" s="294">
        <v>0</v>
      </c>
      <c r="U455" s="294">
        <v>439.01</v>
      </c>
    </row>
    <row r="456" spans="1:21" hidden="1" x14ac:dyDescent="0.25">
      <c r="A456" s="291">
        <v>316223</v>
      </c>
      <c r="B456" s="290" t="s">
        <v>185</v>
      </c>
      <c r="C456" s="292">
        <v>39071</v>
      </c>
      <c r="D456" s="292">
        <v>39071.333333333336</v>
      </c>
      <c r="E456" s="290" t="s">
        <v>186</v>
      </c>
      <c r="F456" s="290" t="s">
        <v>274</v>
      </c>
      <c r="G456" s="290" t="s">
        <v>251</v>
      </c>
      <c r="H456" s="290" t="s">
        <v>181</v>
      </c>
      <c r="I456" s="290" t="s">
        <v>182</v>
      </c>
      <c r="J456" s="290" t="s">
        <v>183</v>
      </c>
      <c r="K456" s="290" t="s">
        <v>183</v>
      </c>
      <c r="L456" s="293">
        <v>0</v>
      </c>
      <c r="M456" s="293">
        <v>0</v>
      </c>
      <c r="N456" s="293">
        <v>28.173999999999999</v>
      </c>
      <c r="O456" s="290" t="s">
        <v>184</v>
      </c>
      <c r="P456" s="293">
        <v>18.98</v>
      </c>
      <c r="Q456" s="294">
        <v>134.26</v>
      </c>
      <c r="R456" s="294">
        <v>37.93</v>
      </c>
      <c r="S456" s="294">
        <v>0</v>
      </c>
      <c r="T456" s="294">
        <v>0</v>
      </c>
      <c r="U456" s="294">
        <v>172.19</v>
      </c>
    </row>
    <row r="457" spans="1:21" hidden="1" x14ac:dyDescent="0.25">
      <c r="A457" s="291">
        <v>316223</v>
      </c>
      <c r="B457" s="290" t="s">
        <v>185</v>
      </c>
      <c r="C457" s="292">
        <v>39071</v>
      </c>
      <c r="D457" s="292">
        <v>39071.333333333336</v>
      </c>
      <c r="E457" s="290" t="s">
        <v>186</v>
      </c>
      <c r="F457" s="290" t="s">
        <v>274</v>
      </c>
      <c r="G457" s="290" t="s">
        <v>251</v>
      </c>
      <c r="H457" s="290" t="s">
        <v>181</v>
      </c>
      <c r="I457" s="290" t="s">
        <v>182</v>
      </c>
      <c r="J457" s="290" t="s">
        <v>183</v>
      </c>
      <c r="K457" s="290" t="s">
        <v>183</v>
      </c>
      <c r="L457" s="293">
        <v>0</v>
      </c>
      <c r="M457" s="293">
        <v>29.643999999999998</v>
      </c>
      <c r="N457" s="293">
        <v>38.479999999999997</v>
      </c>
      <c r="O457" s="290" t="s">
        <v>184</v>
      </c>
      <c r="P457" s="293">
        <v>5.98</v>
      </c>
      <c r="Q457" s="294">
        <v>42.3</v>
      </c>
      <c r="R457" s="294">
        <v>11.95</v>
      </c>
      <c r="S457" s="294">
        <v>0</v>
      </c>
      <c r="T457" s="294">
        <v>0</v>
      </c>
      <c r="U457" s="294">
        <v>54.25</v>
      </c>
    </row>
    <row r="458" spans="1:21" hidden="1" x14ac:dyDescent="0.25">
      <c r="A458" s="291">
        <v>313780</v>
      </c>
      <c r="B458" s="290" t="s">
        <v>185</v>
      </c>
      <c r="C458" s="292">
        <v>39064</v>
      </c>
      <c r="D458" s="292">
        <v>39064.333333333336</v>
      </c>
      <c r="E458" s="290" t="s">
        <v>186</v>
      </c>
      <c r="F458" s="290" t="s">
        <v>270</v>
      </c>
      <c r="G458" s="290" t="s">
        <v>251</v>
      </c>
      <c r="H458" s="290" t="s">
        <v>181</v>
      </c>
      <c r="I458" s="290" t="s">
        <v>182</v>
      </c>
      <c r="J458" s="290" t="s">
        <v>183</v>
      </c>
      <c r="K458" s="290" t="s">
        <v>183</v>
      </c>
      <c r="L458" s="293">
        <v>0</v>
      </c>
      <c r="M458" s="293">
        <v>0</v>
      </c>
      <c r="N458" s="293">
        <v>28.173999999999999</v>
      </c>
      <c r="O458" s="290" t="s">
        <v>184</v>
      </c>
      <c r="P458" s="293">
        <v>8.2100000000000009</v>
      </c>
      <c r="Q458" s="294">
        <v>67.13</v>
      </c>
      <c r="R458" s="294">
        <v>53.57</v>
      </c>
      <c r="S458" s="294">
        <v>0</v>
      </c>
      <c r="T458" s="294">
        <v>0</v>
      </c>
      <c r="U458" s="294">
        <v>120.7</v>
      </c>
    </row>
    <row r="459" spans="1:21" hidden="1" x14ac:dyDescent="0.25">
      <c r="A459" s="291">
        <v>313780</v>
      </c>
      <c r="B459" s="290" t="s">
        <v>185</v>
      </c>
      <c r="C459" s="292">
        <v>39064</v>
      </c>
      <c r="D459" s="292">
        <v>39064.333333333336</v>
      </c>
      <c r="E459" s="290" t="s">
        <v>186</v>
      </c>
      <c r="F459" s="290" t="s">
        <v>270</v>
      </c>
      <c r="G459" s="290" t="s">
        <v>251</v>
      </c>
      <c r="H459" s="290" t="s">
        <v>181</v>
      </c>
      <c r="I459" s="290" t="s">
        <v>182</v>
      </c>
      <c r="J459" s="290" t="s">
        <v>183</v>
      </c>
      <c r="K459" s="290" t="s">
        <v>183</v>
      </c>
      <c r="L459" s="293">
        <v>0</v>
      </c>
      <c r="M459" s="293">
        <v>29.643999999999998</v>
      </c>
      <c r="N459" s="293">
        <v>38.479999999999997</v>
      </c>
      <c r="O459" s="290" t="s">
        <v>184</v>
      </c>
      <c r="P459" s="293">
        <v>2.59</v>
      </c>
      <c r="Q459" s="294">
        <v>21.15</v>
      </c>
      <c r="R459" s="294">
        <v>16.88</v>
      </c>
      <c r="S459" s="294">
        <v>0</v>
      </c>
      <c r="T459" s="294">
        <v>0</v>
      </c>
      <c r="U459" s="294">
        <v>38.03</v>
      </c>
    </row>
    <row r="460" spans="1:21" hidden="1" x14ac:dyDescent="0.25">
      <c r="A460" s="291">
        <v>310864</v>
      </c>
      <c r="B460" s="290" t="s">
        <v>185</v>
      </c>
      <c r="C460" s="292">
        <v>39056</v>
      </c>
      <c r="D460" s="292">
        <v>39056.333333333336</v>
      </c>
      <c r="E460" s="290" t="s">
        <v>186</v>
      </c>
      <c r="F460" s="290" t="s">
        <v>270</v>
      </c>
      <c r="G460" s="290" t="s">
        <v>250</v>
      </c>
      <c r="H460" s="290" t="s">
        <v>181</v>
      </c>
      <c r="I460" s="290" t="s">
        <v>194</v>
      </c>
      <c r="J460" s="290" t="s">
        <v>183</v>
      </c>
      <c r="K460" s="290" t="s">
        <v>183</v>
      </c>
      <c r="L460" s="293">
        <v>0</v>
      </c>
      <c r="M460" s="293">
        <v>0</v>
      </c>
      <c r="N460" s="293">
        <v>3.4409999999999998</v>
      </c>
      <c r="O460" s="290" t="s">
        <v>184</v>
      </c>
      <c r="P460" s="293">
        <v>9</v>
      </c>
      <c r="Q460" s="294">
        <v>45.98</v>
      </c>
      <c r="R460" s="294">
        <v>12.99</v>
      </c>
      <c r="S460" s="294">
        <v>0</v>
      </c>
      <c r="T460" s="294">
        <v>0</v>
      </c>
      <c r="U460" s="294">
        <v>58.97</v>
      </c>
    </row>
    <row r="461" spans="1:21" hidden="1" x14ac:dyDescent="0.25">
      <c r="A461" s="291">
        <v>310300</v>
      </c>
      <c r="B461" s="290" t="s">
        <v>177</v>
      </c>
      <c r="C461" s="292">
        <v>39056</v>
      </c>
      <c r="D461" s="292">
        <v>39056.333333333336</v>
      </c>
      <c r="E461" s="290" t="s">
        <v>190</v>
      </c>
      <c r="F461" s="290" t="s">
        <v>267</v>
      </c>
      <c r="G461" s="290" t="s">
        <v>251</v>
      </c>
      <c r="H461" s="290" t="s">
        <v>181</v>
      </c>
      <c r="I461" s="290" t="s">
        <v>182</v>
      </c>
      <c r="J461" s="290" t="s">
        <v>183</v>
      </c>
      <c r="K461" s="290" t="s">
        <v>183</v>
      </c>
      <c r="L461" s="293">
        <v>0</v>
      </c>
      <c r="M461" s="293">
        <v>0</v>
      </c>
      <c r="N461" s="293">
        <v>28.173999999999999</v>
      </c>
      <c r="O461" s="290" t="s">
        <v>184</v>
      </c>
      <c r="P461" s="293">
        <v>20.440000000000001</v>
      </c>
      <c r="Q461" s="294">
        <v>460.4</v>
      </c>
      <c r="R461" s="294">
        <v>216.23</v>
      </c>
      <c r="S461" s="294">
        <v>0</v>
      </c>
      <c r="T461" s="294">
        <v>0</v>
      </c>
      <c r="U461" s="294">
        <v>676.62</v>
      </c>
    </row>
    <row r="462" spans="1:21" hidden="1" x14ac:dyDescent="0.25">
      <c r="A462" s="291">
        <v>310300</v>
      </c>
      <c r="B462" s="290" t="s">
        <v>177</v>
      </c>
      <c r="C462" s="292">
        <v>39056</v>
      </c>
      <c r="D462" s="292">
        <v>39056.333333333336</v>
      </c>
      <c r="E462" s="290" t="s">
        <v>190</v>
      </c>
      <c r="F462" s="290" t="s">
        <v>267</v>
      </c>
      <c r="G462" s="290" t="s">
        <v>251</v>
      </c>
      <c r="H462" s="290" t="s">
        <v>181</v>
      </c>
      <c r="I462" s="290" t="s">
        <v>182</v>
      </c>
      <c r="J462" s="290" t="s">
        <v>183</v>
      </c>
      <c r="K462" s="290" t="s">
        <v>183</v>
      </c>
      <c r="L462" s="293">
        <v>0</v>
      </c>
      <c r="M462" s="293">
        <v>29.643999999999998</v>
      </c>
      <c r="N462" s="293">
        <v>38.479999999999997</v>
      </c>
      <c r="O462" s="290" t="s">
        <v>184</v>
      </c>
      <c r="P462" s="293">
        <v>6.44</v>
      </c>
      <c r="Q462" s="294">
        <v>145.06</v>
      </c>
      <c r="R462" s="294">
        <v>68.13</v>
      </c>
      <c r="S462" s="294">
        <v>0</v>
      </c>
      <c r="T462" s="294">
        <v>0</v>
      </c>
      <c r="U462" s="294">
        <v>213.18</v>
      </c>
    </row>
    <row r="463" spans="1:21" hidden="1" x14ac:dyDescent="0.25">
      <c r="A463" s="291">
        <v>304805</v>
      </c>
      <c r="B463" s="290" t="s">
        <v>185</v>
      </c>
      <c r="C463" s="292">
        <v>39034</v>
      </c>
      <c r="D463" s="292">
        <v>39034.333333333336</v>
      </c>
      <c r="E463" s="290" t="s">
        <v>225</v>
      </c>
      <c r="F463" s="290" t="s">
        <v>275</v>
      </c>
      <c r="G463" s="290" t="s">
        <v>251</v>
      </c>
      <c r="H463" s="290" t="s">
        <v>197</v>
      </c>
      <c r="I463" s="290" t="s">
        <v>182</v>
      </c>
      <c r="J463" s="290" t="s">
        <v>183</v>
      </c>
      <c r="K463" s="290" t="s">
        <v>183</v>
      </c>
      <c r="L463" s="293">
        <v>0</v>
      </c>
      <c r="M463" s="293">
        <v>0</v>
      </c>
      <c r="N463" s="293">
        <v>28.173999999999999</v>
      </c>
      <c r="O463" s="290" t="s">
        <v>184</v>
      </c>
      <c r="P463" s="293">
        <v>36.5</v>
      </c>
      <c r="Q463" s="294">
        <v>100.7</v>
      </c>
      <c r="R463" s="294">
        <v>28.45</v>
      </c>
      <c r="S463" s="294">
        <v>0</v>
      </c>
      <c r="T463" s="294">
        <v>0</v>
      </c>
      <c r="U463" s="294">
        <v>129.13999999999999</v>
      </c>
    </row>
    <row r="464" spans="1:21" hidden="1" x14ac:dyDescent="0.25">
      <c r="A464" s="291">
        <v>304805</v>
      </c>
      <c r="B464" s="290" t="s">
        <v>185</v>
      </c>
      <c r="C464" s="292">
        <v>39034</v>
      </c>
      <c r="D464" s="292">
        <v>39034.333333333336</v>
      </c>
      <c r="E464" s="290" t="s">
        <v>225</v>
      </c>
      <c r="F464" s="290" t="s">
        <v>275</v>
      </c>
      <c r="G464" s="290" t="s">
        <v>251</v>
      </c>
      <c r="H464" s="290" t="s">
        <v>197</v>
      </c>
      <c r="I464" s="290" t="s">
        <v>182</v>
      </c>
      <c r="J464" s="290" t="s">
        <v>183</v>
      </c>
      <c r="K464" s="290" t="s">
        <v>183</v>
      </c>
      <c r="L464" s="293">
        <v>0</v>
      </c>
      <c r="M464" s="293">
        <v>29.643999999999998</v>
      </c>
      <c r="N464" s="293">
        <v>38.479999999999997</v>
      </c>
      <c r="O464" s="290" t="s">
        <v>184</v>
      </c>
      <c r="P464" s="293">
        <v>11.5</v>
      </c>
      <c r="Q464" s="294">
        <v>31.73</v>
      </c>
      <c r="R464" s="294">
        <v>8.9600000000000009</v>
      </c>
      <c r="S464" s="294">
        <v>0</v>
      </c>
      <c r="T464" s="294">
        <v>0</v>
      </c>
      <c r="U464" s="294">
        <v>40.69</v>
      </c>
    </row>
    <row r="465" spans="1:21" hidden="1" x14ac:dyDescent="0.25">
      <c r="A465" s="291">
        <v>299464</v>
      </c>
      <c r="B465" s="290" t="s">
        <v>185</v>
      </c>
      <c r="C465" s="292">
        <v>39015</v>
      </c>
      <c r="D465" s="292">
        <v>39015.333333333336</v>
      </c>
      <c r="E465" s="290" t="s">
        <v>225</v>
      </c>
      <c r="F465" s="290" t="s">
        <v>254</v>
      </c>
      <c r="G465" s="290" t="s">
        <v>251</v>
      </c>
      <c r="H465" s="290" t="s">
        <v>197</v>
      </c>
      <c r="I465" s="290" t="s">
        <v>182</v>
      </c>
      <c r="J465" s="290" t="s">
        <v>183</v>
      </c>
      <c r="K465" s="290" t="s">
        <v>183</v>
      </c>
      <c r="L465" s="293">
        <v>0</v>
      </c>
      <c r="M465" s="293">
        <v>0</v>
      </c>
      <c r="N465" s="293">
        <v>28.173999999999999</v>
      </c>
      <c r="O465" s="290" t="s">
        <v>184</v>
      </c>
      <c r="P465" s="293">
        <v>65.7</v>
      </c>
      <c r="Q465" s="294">
        <v>201.39</v>
      </c>
      <c r="R465" s="294">
        <v>56.9</v>
      </c>
      <c r="S465" s="294">
        <v>0</v>
      </c>
      <c r="T465" s="294">
        <v>0</v>
      </c>
      <c r="U465" s="294">
        <v>258.29000000000002</v>
      </c>
    </row>
    <row r="466" spans="1:21" hidden="1" x14ac:dyDescent="0.25">
      <c r="A466" s="291">
        <v>299464</v>
      </c>
      <c r="B466" s="290" t="s">
        <v>185</v>
      </c>
      <c r="C466" s="292">
        <v>39015</v>
      </c>
      <c r="D466" s="292">
        <v>39015.333333333336</v>
      </c>
      <c r="E466" s="290" t="s">
        <v>225</v>
      </c>
      <c r="F466" s="290" t="s">
        <v>254</v>
      </c>
      <c r="G466" s="290" t="s">
        <v>251</v>
      </c>
      <c r="H466" s="290" t="s">
        <v>197</v>
      </c>
      <c r="I466" s="290" t="s">
        <v>182</v>
      </c>
      <c r="J466" s="290" t="s">
        <v>183</v>
      </c>
      <c r="K466" s="290" t="s">
        <v>183</v>
      </c>
      <c r="L466" s="293">
        <v>0</v>
      </c>
      <c r="M466" s="293">
        <v>29.643999999999998</v>
      </c>
      <c r="N466" s="293">
        <v>38.479999999999997</v>
      </c>
      <c r="O466" s="290" t="s">
        <v>184</v>
      </c>
      <c r="P466" s="293">
        <v>20.7</v>
      </c>
      <c r="Q466" s="294">
        <v>63.45</v>
      </c>
      <c r="R466" s="294">
        <v>17.93</v>
      </c>
      <c r="S466" s="294">
        <v>0</v>
      </c>
      <c r="T466" s="294">
        <v>0</v>
      </c>
      <c r="U466" s="294">
        <v>81.38</v>
      </c>
    </row>
    <row r="467" spans="1:21" hidden="1" x14ac:dyDescent="0.25">
      <c r="A467" s="291">
        <v>298680</v>
      </c>
      <c r="B467" s="290" t="s">
        <v>185</v>
      </c>
      <c r="C467" s="292">
        <v>39013</v>
      </c>
      <c r="D467" s="292">
        <v>39013.333333333336</v>
      </c>
      <c r="E467" s="290" t="s">
        <v>186</v>
      </c>
      <c r="F467" s="290" t="s">
        <v>256</v>
      </c>
      <c r="G467" s="290" t="s">
        <v>251</v>
      </c>
      <c r="H467" s="290" t="s">
        <v>181</v>
      </c>
      <c r="I467" s="290" t="s">
        <v>182</v>
      </c>
      <c r="J467" s="290" t="s">
        <v>183</v>
      </c>
      <c r="K467" s="290" t="s">
        <v>183</v>
      </c>
      <c r="L467" s="293">
        <v>0</v>
      </c>
      <c r="M467" s="293">
        <v>0</v>
      </c>
      <c r="N467" s="293">
        <v>28.173999999999999</v>
      </c>
      <c r="O467" s="290" t="s">
        <v>184</v>
      </c>
      <c r="P467" s="293">
        <v>3.65</v>
      </c>
      <c r="Q467" s="294">
        <v>67.13</v>
      </c>
      <c r="R467" s="294">
        <v>18.97</v>
      </c>
      <c r="S467" s="294">
        <v>0</v>
      </c>
      <c r="T467" s="294">
        <v>0</v>
      </c>
      <c r="U467" s="294">
        <v>86.1</v>
      </c>
    </row>
    <row r="468" spans="1:21" hidden="1" x14ac:dyDescent="0.25">
      <c r="A468" s="291">
        <v>298680</v>
      </c>
      <c r="B468" s="290" t="s">
        <v>185</v>
      </c>
      <c r="C468" s="292">
        <v>39013</v>
      </c>
      <c r="D468" s="292">
        <v>39013.333333333336</v>
      </c>
      <c r="E468" s="290" t="s">
        <v>186</v>
      </c>
      <c r="F468" s="290" t="s">
        <v>256</v>
      </c>
      <c r="G468" s="290" t="s">
        <v>251</v>
      </c>
      <c r="H468" s="290" t="s">
        <v>181</v>
      </c>
      <c r="I468" s="290" t="s">
        <v>182</v>
      </c>
      <c r="J468" s="290" t="s">
        <v>183</v>
      </c>
      <c r="K468" s="290" t="s">
        <v>183</v>
      </c>
      <c r="L468" s="293">
        <v>0</v>
      </c>
      <c r="M468" s="293">
        <v>29.643999999999998</v>
      </c>
      <c r="N468" s="293">
        <v>38.479999999999997</v>
      </c>
      <c r="O468" s="290" t="s">
        <v>184</v>
      </c>
      <c r="P468" s="293">
        <v>1.1499999999999999</v>
      </c>
      <c r="Q468" s="294">
        <v>21.15</v>
      </c>
      <c r="R468" s="294">
        <v>5.98</v>
      </c>
      <c r="S468" s="294">
        <v>0</v>
      </c>
      <c r="T468" s="294">
        <v>0</v>
      </c>
      <c r="U468" s="294">
        <v>27.13</v>
      </c>
    </row>
    <row r="469" spans="1:21" hidden="1" x14ac:dyDescent="0.25">
      <c r="A469" s="291">
        <v>294269</v>
      </c>
      <c r="B469" s="290" t="s">
        <v>185</v>
      </c>
      <c r="C469" s="292">
        <v>38999</v>
      </c>
      <c r="D469" s="292">
        <v>38999.333333333336</v>
      </c>
      <c r="E469" s="290" t="s">
        <v>186</v>
      </c>
      <c r="F469" s="290" t="s">
        <v>262</v>
      </c>
      <c r="G469" s="290" t="s">
        <v>251</v>
      </c>
      <c r="H469" s="290" t="s">
        <v>181</v>
      </c>
      <c r="I469" s="290" t="s">
        <v>182</v>
      </c>
      <c r="J469" s="290" t="s">
        <v>183</v>
      </c>
      <c r="K469" s="290" t="s">
        <v>183</v>
      </c>
      <c r="L469" s="293">
        <v>0</v>
      </c>
      <c r="M469" s="293">
        <v>0</v>
      </c>
      <c r="N469" s="293">
        <v>28.173999999999999</v>
      </c>
      <c r="O469" s="290" t="s">
        <v>184</v>
      </c>
      <c r="P469" s="293">
        <v>66253.34</v>
      </c>
      <c r="Q469" s="294">
        <v>846.22</v>
      </c>
      <c r="R469" s="294">
        <v>423.69</v>
      </c>
      <c r="S469" s="294">
        <v>0</v>
      </c>
      <c r="T469" s="294">
        <v>0</v>
      </c>
      <c r="U469" s="294">
        <v>1269.9100000000001</v>
      </c>
    </row>
    <row r="470" spans="1:21" hidden="1" x14ac:dyDescent="0.25">
      <c r="A470" s="291">
        <v>294269</v>
      </c>
      <c r="B470" s="290" t="s">
        <v>185</v>
      </c>
      <c r="C470" s="292">
        <v>38999</v>
      </c>
      <c r="D470" s="292">
        <v>38999.333333333336</v>
      </c>
      <c r="E470" s="290" t="s">
        <v>186</v>
      </c>
      <c r="F470" s="290" t="s">
        <v>262</v>
      </c>
      <c r="G470" s="290" t="s">
        <v>251</v>
      </c>
      <c r="H470" s="290" t="s">
        <v>181</v>
      </c>
      <c r="I470" s="290" t="s">
        <v>182</v>
      </c>
      <c r="J470" s="290" t="s">
        <v>183</v>
      </c>
      <c r="K470" s="290" t="s">
        <v>183</v>
      </c>
      <c r="L470" s="293">
        <v>0</v>
      </c>
      <c r="M470" s="293">
        <v>29.643999999999998</v>
      </c>
      <c r="N470" s="293">
        <v>38.479999999999997</v>
      </c>
      <c r="O470" s="290" t="s">
        <v>184</v>
      </c>
      <c r="P470" s="293">
        <v>20874.34</v>
      </c>
      <c r="Q470" s="294">
        <v>266.62</v>
      </c>
      <c r="R470" s="294">
        <v>133.49</v>
      </c>
      <c r="S470" s="294">
        <v>0</v>
      </c>
      <c r="T470" s="294">
        <v>0</v>
      </c>
      <c r="U470" s="294">
        <v>400.11</v>
      </c>
    </row>
    <row r="471" spans="1:21" hidden="1" x14ac:dyDescent="0.25">
      <c r="A471" s="291">
        <v>294268</v>
      </c>
      <c r="B471" s="290" t="s">
        <v>185</v>
      </c>
      <c r="C471" s="292">
        <v>38999</v>
      </c>
      <c r="D471" s="292">
        <v>38999.333333333336</v>
      </c>
      <c r="E471" s="290" t="s">
        <v>186</v>
      </c>
      <c r="F471" s="290" t="s">
        <v>276</v>
      </c>
      <c r="G471" s="290" t="s">
        <v>251</v>
      </c>
      <c r="H471" s="290" t="s">
        <v>181</v>
      </c>
      <c r="I471" s="290" t="s">
        <v>182</v>
      </c>
      <c r="J471" s="290" t="s">
        <v>183</v>
      </c>
      <c r="K471" s="290" t="s">
        <v>183</v>
      </c>
      <c r="L471" s="293">
        <v>0</v>
      </c>
      <c r="M471" s="293">
        <v>0</v>
      </c>
      <c r="N471" s="293">
        <v>28.173999999999999</v>
      </c>
      <c r="O471" s="290" t="s">
        <v>184</v>
      </c>
      <c r="P471" s="293">
        <v>730</v>
      </c>
      <c r="Q471" s="294">
        <v>604.44000000000005</v>
      </c>
      <c r="R471" s="294">
        <v>355.51</v>
      </c>
      <c r="S471" s="294">
        <v>0</v>
      </c>
      <c r="T471" s="294">
        <v>0</v>
      </c>
      <c r="U471" s="294">
        <v>959.95</v>
      </c>
    </row>
    <row r="472" spans="1:21" hidden="1" x14ac:dyDescent="0.25">
      <c r="A472" s="291">
        <v>294268</v>
      </c>
      <c r="B472" s="290" t="s">
        <v>185</v>
      </c>
      <c r="C472" s="292">
        <v>38999</v>
      </c>
      <c r="D472" s="292">
        <v>38999.333333333336</v>
      </c>
      <c r="E472" s="290" t="s">
        <v>186</v>
      </c>
      <c r="F472" s="290" t="s">
        <v>276</v>
      </c>
      <c r="G472" s="290" t="s">
        <v>251</v>
      </c>
      <c r="H472" s="290" t="s">
        <v>181</v>
      </c>
      <c r="I472" s="290" t="s">
        <v>182</v>
      </c>
      <c r="J472" s="290" t="s">
        <v>183</v>
      </c>
      <c r="K472" s="290" t="s">
        <v>183</v>
      </c>
      <c r="L472" s="293">
        <v>0</v>
      </c>
      <c r="M472" s="293">
        <v>29.643999999999998</v>
      </c>
      <c r="N472" s="293">
        <v>38.479999999999997</v>
      </c>
      <c r="O472" s="290" t="s">
        <v>184</v>
      </c>
      <c r="P472" s="293">
        <v>230</v>
      </c>
      <c r="Q472" s="294">
        <v>190.44</v>
      </c>
      <c r="R472" s="294">
        <v>112.01</v>
      </c>
      <c r="S472" s="294">
        <v>0</v>
      </c>
      <c r="T472" s="294">
        <v>0</v>
      </c>
      <c r="U472" s="294">
        <v>302.45</v>
      </c>
    </row>
    <row r="473" spans="1:21" hidden="1" x14ac:dyDescent="0.25">
      <c r="A473" s="291">
        <v>294128</v>
      </c>
      <c r="B473" s="290" t="s">
        <v>185</v>
      </c>
      <c r="C473" s="292">
        <v>38999</v>
      </c>
      <c r="D473" s="292">
        <v>38999.333333333336</v>
      </c>
      <c r="E473" s="290" t="s">
        <v>225</v>
      </c>
      <c r="F473" s="290" t="s">
        <v>256</v>
      </c>
      <c r="G473" s="290" t="s">
        <v>251</v>
      </c>
      <c r="H473" s="290" t="s">
        <v>197</v>
      </c>
      <c r="I473" s="290" t="s">
        <v>182</v>
      </c>
      <c r="J473" s="290" t="s">
        <v>183</v>
      </c>
      <c r="K473" s="290" t="s">
        <v>183</v>
      </c>
      <c r="L473" s="293">
        <v>0</v>
      </c>
      <c r="M473" s="293">
        <v>0</v>
      </c>
      <c r="N473" s="293">
        <v>28.173999999999999</v>
      </c>
      <c r="O473" s="290" t="s">
        <v>184</v>
      </c>
      <c r="P473" s="293">
        <v>3.65</v>
      </c>
      <c r="Q473" s="294">
        <v>60.44</v>
      </c>
      <c r="R473" s="294">
        <v>18.97</v>
      </c>
      <c r="S473" s="294">
        <v>0</v>
      </c>
      <c r="T473" s="294">
        <v>0</v>
      </c>
      <c r="U473" s="294">
        <v>79.41</v>
      </c>
    </row>
    <row r="474" spans="1:21" hidden="1" x14ac:dyDescent="0.25">
      <c r="A474" s="291">
        <v>294128</v>
      </c>
      <c r="B474" s="290" t="s">
        <v>185</v>
      </c>
      <c r="C474" s="292">
        <v>38999</v>
      </c>
      <c r="D474" s="292">
        <v>38999.333333333336</v>
      </c>
      <c r="E474" s="290" t="s">
        <v>225</v>
      </c>
      <c r="F474" s="290" t="s">
        <v>256</v>
      </c>
      <c r="G474" s="290" t="s">
        <v>251</v>
      </c>
      <c r="H474" s="290" t="s">
        <v>197</v>
      </c>
      <c r="I474" s="290" t="s">
        <v>182</v>
      </c>
      <c r="J474" s="290" t="s">
        <v>183</v>
      </c>
      <c r="K474" s="290" t="s">
        <v>183</v>
      </c>
      <c r="L474" s="293">
        <v>0</v>
      </c>
      <c r="M474" s="293">
        <v>29.643999999999998</v>
      </c>
      <c r="N474" s="293">
        <v>38.479999999999997</v>
      </c>
      <c r="O474" s="290" t="s">
        <v>184</v>
      </c>
      <c r="P474" s="293">
        <v>1.1499999999999999</v>
      </c>
      <c r="Q474" s="294">
        <v>19.04</v>
      </c>
      <c r="R474" s="294">
        <v>5.98</v>
      </c>
      <c r="S474" s="294">
        <v>0</v>
      </c>
      <c r="T474" s="294">
        <v>0</v>
      </c>
      <c r="U474" s="294">
        <v>25.02</v>
      </c>
    </row>
    <row r="475" spans="1:21" hidden="1" x14ac:dyDescent="0.25">
      <c r="A475" s="291">
        <v>293542</v>
      </c>
      <c r="B475" s="290" t="s">
        <v>185</v>
      </c>
      <c r="C475" s="292">
        <v>38996</v>
      </c>
      <c r="D475" s="292">
        <v>38996.333333333336</v>
      </c>
      <c r="E475" s="290" t="s">
        <v>186</v>
      </c>
      <c r="F475" s="290" t="s">
        <v>256</v>
      </c>
      <c r="G475" s="290" t="s">
        <v>251</v>
      </c>
      <c r="H475" s="290" t="s">
        <v>181</v>
      </c>
      <c r="I475" s="290" t="s">
        <v>182</v>
      </c>
      <c r="J475" s="290" t="s">
        <v>183</v>
      </c>
      <c r="K475" s="290" t="s">
        <v>183</v>
      </c>
      <c r="L475" s="293">
        <v>0</v>
      </c>
      <c r="M475" s="293">
        <v>0</v>
      </c>
      <c r="N475" s="293">
        <v>28.173999999999999</v>
      </c>
      <c r="O475" s="290" t="s">
        <v>184</v>
      </c>
      <c r="P475" s="293">
        <v>4.38</v>
      </c>
      <c r="Q475" s="294">
        <v>30.22</v>
      </c>
      <c r="R475" s="294">
        <v>9.48</v>
      </c>
      <c r="S475" s="294">
        <v>0</v>
      </c>
      <c r="T475" s="294">
        <v>0</v>
      </c>
      <c r="U475" s="294">
        <v>39.700000000000003</v>
      </c>
    </row>
    <row r="476" spans="1:21" hidden="1" x14ac:dyDescent="0.25">
      <c r="A476" s="291">
        <v>293542</v>
      </c>
      <c r="B476" s="290" t="s">
        <v>185</v>
      </c>
      <c r="C476" s="292">
        <v>38996</v>
      </c>
      <c r="D476" s="292">
        <v>38996.333333333336</v>
      </c>
      <c r="E476" s="290" t="s">
        <v>186</v>
      </c>
      <c r="F476" s="290" t="s">
        <v>256</v>
      </c>
      <c r="G476" s="290" t="s">
        <v>251</v>
      </c>
      <c r="H476" s="290" t="s">
        <v>181</v>
      </c>
      <c r="I476" s="290" t="s">
        <v>182</v>
      </c>
      <c r="J476" s="290" t="s">
        <v>183</v>
      </c>
      <c r="K476" s="290" t="s">
        <v>183</v>
      </c>
      <c r="L476" s="293">
        <v>0</v>
      </c>
      <c r="M476" s="293">
        <v>29.643999999999998</v>
      </c>
      <c r="N476" s="293">
        <v>38.479999999999997</v>
      </c>
      <c r="O476" s="290" t="s">
        <v>184</v>
      </c>
      <c r="P476" s="293">
        <v>1.38</v>
      </c>
      <c r="Q476" s="294">
        <v>9.52</v>
      </c>
      <c r="R476" s="294">
        <v>2.99</v>
      </c>
      <c r="S476" s="294">
        <v>0</v>
      </c>
      <c r="T476" s="294">
        <v>0</v>
      </c>
      <c r="U476" s="294">
        <v>12.51</v>
      </c>
    </row>
    <row r="477" spans="1:21" hidden="1" x14ac:dyDescent="0.25">
      <c r="A477" s="291">
        <v>293541</v>
      </c>
      <c r="B477" s="290" t="s">
        <v>185</v>
      </c>
      <c r="C477" s="292">
        <v>38996</v>
      </c>
      <c r="D477" s="292">
        <v>38996.333333333336</v>
      </c>
      <c r="E477" s="290" t="s">
        <v>186</v>
      </c>
      <c r="F477" s="290" t="s">
        <v>256</v>
      </c>
      <c r="G477" s="290" t="s">
        <v>251</v>
      </c>
      <c r="H477" s="290" t="s">
        <v>181</v>
      </c>
      <c r="I477" s="290" t="s">
        <v>182</v>
      </c>
      <c r="J477" s="290" t="s">
        <v>183</v>
      </c>
      <c r="K477" s="290" t="s">
        <v>183</v>
      </c>
      <c r="L477" s="293">
        <v>0</v>
      </c>
      <c r="M477" s="293">
        <v>0</v>
      </c>
      <c r="N477" s="293">
        <v>28.173999999999999</v>
      </c>
      <c r="O477" s="290" t="s">
        <v>184</v>
      </c>
      <c r="P477" s="293">
        <v>6.57</v>
      </c>
      <c r="Q477" s="294">
        <v>60.44</v>
      </c>
      <c r="R477" s="294">
        <v>18.97</v>
      </c>
      <c r="S477" s="294">
        <v>0</v>
      </c>
      <c r="T477" s="294">
        <v>0</v>
      </c>
      <c r="U477" s="294">
        <v>79.41</v>
      </c>
    </row>
    <row r="478" spans="1:21" hidden="1" x14ac:dyDescent="0.25">
      <c r="A478" s="291">
        <v>293541</v>
      </c>
      <c r="B478" s="290" t="s">
        <v>185</v>
      </c>
      <c r="C478" s="292">
        <v>38996</v>
      </c>
      <c r="D478" s="292">
        <v>38996.333333333336</v>
      </c>
      <c r="E478" s="290" t="s">
        <v>186</v>
      </c>
      <c r="F478" s="290" t="s">
        <v>256</v>
      </c>
      <c r="G478" s="290" t="s">
        <v>251</v>
      </c>
      <c r="H478" s="290" t="s">
        <v>181</v>
      </c>
      <c r="I478" s="290" t="s">
        <v>182</v>
      </c>
      <c r="J478" s="290" t="s">
        <v>183</v>
      </c>
      <c r="K478" s="290" t="s">
        <v>183</v>
      </c>
      <c r="L478" s="293">
        <v>0</v>
      </c>
      <c r="M478" s="293">
        <v>29.643999999999998</v>
      </c>
      <c r="N478" s="293">
        <v>38.479999999999997</v>
      </c>
      <c r="O478" s="290" t="s">
        <v>184</v>
      </c>
      <c r="P478" s="293">
        <v>2.0699999999999998</v>
      </c>
      <c r="Q478" s="294">
        <v>19.04</v>
      </c>
      <c r="R478" s="294">
        <v>5.98</v>
      </c>
      <c r="S478" s="294">
        <v>0</v>
      </c>
      <c r="T478" s="294">
        <v>0</v>
      </c>
      <c r="U478" s="294">
        <v>25.02</v>
      </c>
    </row>
    <row r="479" spans="1:21" hidden="1" x14ac:dyDescent="0.25">
      <c r="A479" s="291">
        <v>293197</v>
      </c>
      <c r="B479" s="290" t="s">
        <v>185</v>
      </c>
      <c r="C479" s="292">
        <v>38995</v>
      </c>
      <c r="D479" s="292">
        <v>38995.333333333336</v>
      </c>
      <c r="E479" s="290" t="s">
        <v>186</v>
      </c>
      <c r="F479" s="290" t="s">
        <v>276</v>
      </c>
      <c r="G479" s="290" t="s">
        <v>251</v>
      </c>
      <c r="H479" s="290" t="s">
        <v>181</v>
      </c>
      <c r="I479" s="290" t="s">
        <v>182</v>
      </c>
      <c r="J479" s="290" t="s">
        <v>183</v>
      </c>
      <c r="K479" s="290" t="s">
        <v>183</v>
      </c>
      <c r="L479" s="293">
        <v>0</v>
      </c>
      <c r="M479" s="293">
        <v>0</v>
      </c>
      <c r="N479" s="293">
        <v>28.173999999999999</v>
      </c>
      <c r="O479" s="290" t="s">
        <v>184</v>
      </c>
      <c r="P479" s="293">
        <v>365</v>
      </c>
      <c r="Q479" s="294">
        <v>604.44000000000005</v>
      </c>
      <c r="R479" s="294">
        <v>355.51</v>
      </c>
      <c r="S479" s="294">
        <v>0</v>
      </c>
      <c r="T479" s="294">
        <v>0</v>
      </c>
      <c r="U479" s="294">
        <v>959.95</v>
      </c>
    </row>
    <row r="480" spans="1:21" hidden="1" x14ac:dyDescent="0.25">
      <c r="A480" s="291">
        <v>293197</v>
      </c>
      <c r="B480" s="290" t="s">
        <v>185</v>
      </c>
      <c r="C480" s="292">
        <v>38995</v>
      </c>
      <c r="D480" s="292">
        <v>38995.333333333336</v>
      </c>
      <c r="E480" s="290" t="s">
        <v>186</v>
      </c>
      <c r="F480" s="290" t="s">
        <v>276</v>
      </c>
      <c r="G480" s="290" t="s">
        <v>251</v>
      </c>
      <c r="H480" s="290" t="s">
        <v>181</v>
      </c>
      <c r="I480" s="290" t="s">
        <v>182</v>
      </c>
      <c r="J480" s="290" t="s">
        <v>183</v>
      </c>
      <c r="K480" s="290" t="s">
        <v>183</v>
      </c>
      <c r="L480" s="293">
        <v>0</v>
      </c>
      <c r="M480" s="293">
        <v>29.643999999999998</v>
      </c>
      <c r="N480" s="293">
        <v>38.479999999999997</v>
      </c>
      <c r="O480" s="290" t="s">
        <v>184</v>
      </c>
      <c r="P480" s="293">
        <v>115</v>
      </c>
      <c r="Q480" s="294">
        <v>190.44</v>
      </c>
      <c r="R480" s="294">
        <v>112.01</v>
      </c>
      <c r="S480" s="294">
        <v>0</v>
      </c>
      <c r="T480" s="294">
        <v>0</v>
      </c>
      <c r="U480" s="294">
        <v>302.45</v>
      </c>
    </row>
    <row r="481" spans="1:21" hidden="1" x14ac:dyDescent="0.25">
      <c r="A481" s="291">
        <v>293196</v>
      </c>
      <c r="B481" s="290" t="s">
        <v>185</v>
      </c>
      <c r="C481" s="292">
        <v>38995</v>
      </c>
      <c r="D481" s="292">
        <v>38995.333333333336</v>
      </c>
      <c r="E481" s="290" t="s">
        <v>186</v>
      </c>
      <c r="F481" s="290" t="s">
        <v>262</v>
      </c>
      <c r="G481" s="290" t="s">
        <v>251</v>
      </c>
      <c r="H481" s="290" t="s">
        <v>181</v>
      </c>
      <c r="I481" s="290" t="s">
        <v>182</v>
      </c>
      <c r="J481" s="290" t="s">
        <v>183</v>
      </c>
      <c r="K481" s="290" t="s">
        <v>183</v>
      </c>
      <c r="L481" s="293">
        <v>0</v>
      </c>
      <c r="M481" s="293">
        <v>0</v>
      </c>
      <c r="N481" s="293">
        <v>28.173999999999999</v>
      </c>
      <c r="O481" s="290" t="s">
        <v>184</v>
      </c>
      <c r="P481" s="293">
        <v>77160.27</v>
      </c>
      <c r="Q481" s="294">
        <v>906.66</v>
      </c>
      <c r="R481" s="294">
        <v>529.62</v>
      </c>
      <c r="S481" s="294">
        <v>0</v>
      </c>
      <c r="T481" s="294">
        <v>0</v>
      </c>
      <c r="U481" s="294">
        <v>1436.28</v>
      </c>
    </row>
    <row r="482" spans="1:21" hidden="1" x14ac:dyDescent="0.25">
      <c r="A482" s="291">
        <v>293196</v>
      </c>
      <c r="B482" s="290" t="s">
        <v>185</v>
      </c>
      <c r="C482" s="292">
        <v>38995</v>
      </c>
      <c r="D482" s="292">
        <v>38995.333333333336</v>
      </c>
      <c r="E482" s="290" t="s">
        <v>186</v>
      </c>
      <c r="F482" s="290" t="s">
        <v>262</v>
      </c>
      <c r="G482" s="290" t="s">
        <v>251</v>
      </c>
      <c r="H482" s="290" t="s">
        <v>181</v>
      </c>
      <c r="I482" s="290" t="s">
        <v>182</v>
      </c>
      <c r="J482" s="290" t="s">
        <v>183</v>
      </c>
      <c r="K482" s="290" t="s">
        <v>183</v>
      </c>
      <c r="L482" s="293">
        <v>0</v>
      </c>
      <c r="M482" s="293">
        <v>29.643999999999998</v>
      </c>
      <c r="N482" s="293">
        <v>38.479999999999997</v>
      </c>
      <c r="O482" s="290" t="s">
        <v>184</v>
      </c>
      <c r="P482" s="293">
        <v>24310.77</v>
      </c>
      <c r="Q482" s="294">
        <v>285.66000000000003</v>
      </c>
      <c r="R482" s="294">
        <v>166.87</v>
      </c>
      <c r="S482" s="294">
        <v>0</v>
      </c>
      <c r="T482" s="294">
        <v>0</v>
      </c>
      <c r="U482" s="294">
        <v>452.53</v>
      </c>
    </row>
    <row r="483" spans="1:21" hidden="1" x14ac:dyDescent="0.25">
      <c r="A483" s="291">
        <v>292639</v>
      </c>
      <c r="B483" s="290" t="s">
        <v>185</v>
      </c>
      <c r="C483" s="292">
        <v>38994</v>
      </c>
      <c r="D483" s="292">
        <v>38994.333333333336</v>
      </c>
      <c r="E483" s="290" t="s">
        <v>186</v>
      </c>
      <c r="F483" s="290" t="s">
        <v>262</v>
      </c>
      <c r="G483" s="290" t="s">
        <v>251</v>
      </c>
      <c r="H483" s="290" t="s">
        <v>181</v>
      </c>
      <c r="I483" s="290" t="s">
        <v>182</v>
      </c>
      <c r="J483" s="290" t="s">
        <v>183</v>
      </c>
      <c r="K483" s="290" t="s">
        <v>183</v>
      </c>
      <c r="L483" s="293">
        <v>0</v>
      </c>
      <c r="M483" s="293">
        <v>0</v>
      </c>
      <c r="N483" s="293">
        <v>28.173999999999999</v>
      </c>
      <c r="O483" s="290" t="s">
        <v>184</v>
      </c>
      <c r="P483" s="293">
        <v>74544.679999999993</v>
      </c>
      <c r="Q483" s="294">
        <v>906.66</v>
      </c>
      <c r="R483" s="294">
        <v>529.62</v>
      </c>
      <c r="S483" s="294">
        <v>0</v>
      </c>
      <c r="T483" s="294">
        <v>0</v>
      </c>
      <c r="U483" s="294">
        <v>1436.28</v>
      </c>
    </row>
    <row r="484" spans="1:21" hidden="1" x14ac:dyDescent="0.25">
      <c r="A484" s="291">
        <v>292639</v>
      </c>
      <c r="B484" s="290" t="s">
        <v>185</v>
      </c>
      <c r="C484" s="292">
        <v>38994</v>
      </c>
      <c r="D484" s="292">
        <v>38994.333333333336</v>
      </c>
      <c r="E484" s="290" t="s">
        <v>186</v>
      </c>
      <c r="F484" s="290" t="s">
        <v>262</v>
      </c>
      <c r="G484" s="290" t="s">
        <v>251</v>
      </c>
      <c r="H484" s="290" t="s">
        <v>181</v>
      </c>
      <c r="I484" s="290" t="s">
        <v>182</v>
      </c>
      <c r="J484" s="290" t="s">
        <v>183</v>
      </c>
      <c r="K484" s="290" t="s">
        <v>183</v>
      </c>
      <c r="L484" s="293">
        <v>0</v>
      </c>
      <c r="M484" s="293">
        <v>29.643999999999998</v>
      </c>
      <c r="N484" s="293">
        <v>38.479999999999997</v>
      </c>
      <c r="O484" s="290" t="s">
        <v>184</v>
      </c>
      <c r="P484" s="293">
        <v>23486.68</v>
      </c>
      <c r="Q484" s="294">
        <v>285.66000000000003</v>
      </c>
      <c r="R484" s="294">
        <v>166.87</v>
      </c>
      <c r="S484" s="294">
        <v>0</v>
      </c>
      <c r="T484" s="294">
        <v>0</v>
      </c>
      <c r="U484" s="294">
        <v>452.53</v>
      </c>
    </row>
    <row r="485" spans="1:21" hidden="1" x14ac:dyDescent="0.25">
      <c r="A485" s="291">
        <v>292278</v>
      </c>
      <c r="B485" s="290" t="s">
        <v>185</v>
      </c>
      <c r="C485" s="292">
        <v>38993</v>
      </c>
      <c r="D485" s="292">
        <v>38993.333333333336</v>
      </c>
      <c r="E485" s="290" t="s">
        <v>186</v>
      </c>
      <c r="F485" s="290" t="s">
        <v>262</v>
      </c>
      <c r="G485" s="290" t="s">
        <v>251</v>
      </c>
      <c r="H485" s="290" t="s">
        <v>181</v>
      </c>
      <c r="I485" s="290" t="s">
        <v>182</v>
      </c>
      <c r="J485" s="290" t="s">
        <v>183</v>
      </c>
      <c r="K485" s="290" t="s">
        <v>183</v>
      </c>
      <c r="L485" s="293">
        <v>0</v>
      </c>
      <c r="M485" s="293">
        <v>0</v>
      </c>
      <c r="N485" s="293">
        <v>28.173999999999999</v>
      </c>
      <c r="O485" s="290" t="s">
        <v>184</v>
      </c>
      <c r="P485" s="293">
        <v>97803.94</v>
      </c>
      <c r="Q485" s="294">
        <v>604.44000000000005</v>
      </c>
      <c r="R485" s="294">
        <v>529.62</v>
      </c>
      <c r="S485" s="294">
        <v>0</v>
      </c>
      <c r="T485" s="294">
        <v>0</v>
      </c>
      <c r="U485" s="294">
        <v>1134.06</v>
      </c>
    </row>
    <row r="486" spans="1:21" hidden="1" x14ac:dyDescent="0.25">
      <c r="A486" s="291">
        <v>292278</v>
      </c>
      <c r="B486" s="290" t="s">
        <v>185</v>
      </c>
      <c r="C486" s="292">
        <v>38993</v>
      </c>
      <c r="D486" s="292">
        <v>38993.333333333336</v>
      </c>
      <c r="E486" s="290" t="s">
        <v>186</v>
      </c>
      <c r="F486" s="290" t="s">
        <v>262</v>
      </c>
      <c r="G486" s="290" t="s">
        <v>251</v>
      </c>
      <c r="H486" s="290" t="s">
        <v>181</v>
      </c>
      <c r="I486" s="290" t="s">
        <v>182</v>
      </c>
      <c r="J486" s="290" t="s">
        <v>183</v>
      </c>
      <c r="K486" s="290" t="s">
        <v>183</v>
      </c>
      <c r="L486" s="293">
        <v>0</v>
      </c>
      <c r="M486" s="293">
        <v>29.643999999999998</v>
      </c>
      <c r="N486" s="293">
        <v>38.479999999999997</v>
      </c>
      <c r="O486" s="290" t="s">
        <v>184</v>
      </c>
      <c r="P486" s="293">
        <v>30814.94</v>
      </c>
      <c r="Q486" s="294">
        <v>190.44</v>
      </c>
      <c r="R486" s="294">
        <v>166.87</v>
      </c>
      <c r="S486" s="294">
        <v>0</v>
      </c>
      <c r="T486" s="294">
        <v>0</v>
      </c>
      <c r="U486" s="294">
        <v>357.31</v>
      </c>
    </row>
    <row r="487" spans="1:21" hidden="1" x14ac:dyDescent="0.25">
      <c r="A487" s="291">
        <v>292261</v>
      </c>
      <c r="B487" s="290" t="s">
        <v>185</v>
      </c>
      <c r="C487" s="292">
        <v>38993</v>
      </c>
      <c r="D487" s="292">
        <v>38993.333333333336</v>
      </c>
      <c r="E487" s="290" t="s">
        <v>186</v>
      </c>
      <c r="F487" s="290" t="s">
        <v>276</v>
      </c>
      <c r="G487" s="290" t="s">
        <v>251</v>
      </c>
      <c r="H487" s="290" t="s">
        <v>181</v>
      </c>
      <c r="I487" s="290" t="s">
        <v>182</v>
      </c>
      <c r="J487" s="290" t="s">
        <v>183</v>
      </c>
      <c r="K487" s="290" t="s">
        <v>183</v>
      </c>
      <c r="L487" s="293">
        <v>0</v>
      </c>
      <c r="M487" s="293">
        <v>0</v>
      </c>
      <c r="N487" s="293">
        <v>28.173999999999999</v>
      </c>
      <c r="O487" s="290" t="s">
        <v>184</v>
      </c>
      <c r="P487" s="293">
        <v>730</v>
      </c>
      <c r="Q487" s="294">
        <v>453.33</v>
      </c>
      <c r="R487" s="294">
        <v>355.51</v>
      </c>
      <c r="S487" s="294">
        <v>0</v>
      </c>
      <c r="T487" s="294">
        <v>0</v>
      </c>
      <c r="U487" s="294">
        <v>808.84</v>
      </c>
    </row>
    <row r="488" spans="1:21" hidden="1" x14ac:dyDescent="0.25">
      <c r="A488" s="291">
        <v>292261</v>
      </c>
      <c r="B488" s="290" t="s">
        <v>185</v>
      </c>
      <c r="C488" s="292">
        <v>38993</v>
      </c>
      <c r="D488" s="292">
        <v>38993.333333333336</v>
      </c>
      <c r="E488" s="290" t="s">
        <v>186</v>
      </c>
      <c r="F488" s="290" t="s">
        <v>276</v>
      </c>
      <c r="G488" s="290" t="s">
        <v>251</v>
      </c>
      <c r="H488" s="290" t="s">
        <v>181</v>
      </c>
      <c r="I488" s="290" t="s">
        <v>182</v>
      </c>
      <c r="J488" s="290" t="s">
        <v>183</v>
      </c>
      <c r="K488" s="290" t="s">
        <v>183</v>
      </c>
      <c r="L488" s="293">
        <v>0</v>
      </c>
      <c r="M488" s="293">
        <v>29.643999999999998</v>
      </c>
      <c r="N488" s="293">
        <v>38.479999999999997</v>
      </c>
      <c r="O488" s="290" t="s">
        <v>184</v>
      </c>
      <c r="P488" s="293">
        <v>230</v>
      </c>
      <c r="Q488" s="294">
        <v>142.83000000000001</v>
      </c>
      <c r="R488" s="294">
        <v>112.01</v>
      </c>
      <c r="S488" s="294">
        <v>0</v>
      </c>
      <c r="T488" s="294">
        <v>0</v>
      </c>
      <c r="U488" s="294">
        <v>254.84</v>
      </c>
    </row>
    <row r="489" spans="1:21" hidden="1" x14ac:dyDescent="0.25">
      <c r="A489" s="291">
        <v>291709</v>
      </c>
      <c r="B489" s="290" t="s">
        <v>185</v>
      </c>
      <c r="C489" s="292">
        <v>38992</v>
      </c>
      <c r="D489" s="292">
        <v>38992.333333333336</v>
      </c>
      <c r="E489" s="290" t="s">
        <v>186</v>
      </c>
      <c r="F489" s="290" t="s">
        <v>276</v>
      </c>
      <c r="G489" s="290" t="s">
        <v>251</v>
      </c>
      <c r="H489" s="290" t="s">
        <v>181</v>
      </c>
      <c r="I489" s="290" t="s">
        <v>182</v>
      </c>
      <c r="J489" s="290" t="s">
        <v>183</v>
      </c>
      <c r="K489" s="290" t="s">
        <v>183</v>
      </c>
      <c r="L489" s="293">
        <v>0</v>
      </c>
      <c r="M489" s="293">
        <v>0</v>
      </c>
      <c r="N489" s="293">
        <v>28.173999999999999</v>
      </c>
      <c r="O489" s="290" t="s">
        <v>184</v>
      </c>
      <c r="P489" s="293">
        <v>438</v>
      </c>
      <c r="Q489" s="294">
        <v>604.44000000000005</v>
      </c>
      <c r="R489" s="294">
        <v>355.51</v>
      </c>
      <c r="S489" s="294">
        <v>0</v>
      </c>
      <c r="T489" s="294">
        <v>0</v>
      </c>
      <c r="U489" s="294">
        <v>959.95</v>
      </c>
    </row>
    <row r="490" spans="1:21" hidden="1" x14ac:dyDescent="0.25">
      <c r="A490" s="291">
        <v>291709</v>
      </c>
      <c r="B490" s="290" t="s">
        <v>185</v>
      </c>
      <c r="C490" s="292">
        <v>38992</v>
      </c>
      <c r="D490" s="292">
        <v>38992.333333333336</v>
      </c>
      <c r="E490" s="290" t="s">
        <v>186</v>
      </c>
      <c r="F490" s="290" t="s">
        <v>276</v>
      </c>
      <c r="G490" s="290" t="s">
        <v>251</v>
      </c>
      <c r="H490" s="290" t="s">
        <v>181</v>
      </c>
      <c r="I490" s="290" t="s">
        <v>182</v>
      </c>
      <c r="J490" s="290" t="s">
        <v>183</v>
      </c>
      <c r="K490" s="290" t="s">
        <v>183</v>
      </c>
      <c r="L490" s="293">
        <v>0</v>
      </c>
      <c r="M490" s="293">
        <v>29.643999999999998</v>
      </c>
      <c r="N490" s="293">
        <v>38.479999999999997</v>
      </c>
      <c r="O490" s="290" t="s">
        <v>184</v>
      </c>
      <c r="P490" s="293">
        <v>138</v>
      </c>
      <c r="Q490" s="294">
        <v>190.44</v>
      </c>
      <c r="R490" s="294">
        <v>112.01</v>
      </c>
      <c r="S490" s="294">
        <v>0</v>
      </c>
      <c r="T490" s="294">
        <v>0</v>
      </c>
      <c r="U490" s="294">
        <v>302.45</v>
      </c>
    </row>
    <row r="491" spans="1:21" hidden="1" x14ac:dyDescent="0.25">
      <c r="A491" s="291">
        <v>291708</v>
      </c>
      <c r="B491" s="290" t="s">
        <v>185</v>
      </c>
      <c r="C491" s="292">
        <v>38992</v>
      </c>
      <c r="D491" s="292">
        <v>38992.333333333336</v>
      </c>
      <c r="E491" s="290" t="s">
        <v>186</v>
      </c>
      <c r="F491" s="290" t="s">
        <v>262</v>
      </c>
      <c r="G491" s="290" t="s">
        <v>251</v>
      </c>
      <c r="H491" s="290" t="s">
        <v>181</v>
      </c>
      <c r="I491" s="290" t="s">
        <v>182</v>
      </c>
      <c r="J491" s="290" t="s">
        <v>183</v>
      </c>
      <c r="K491" s="290" t="s">
        <v>183</v>
      </c>
      <c r="L491" s="293">
        <v>0</v>
      </c>
      <c r="M491" s="293">
        <v>0</v>
      </c>
      <c r="N491" s="293">
        <v>28.173999999999999</v>
      </c>
      <c r="O491" s="290" t="s">
        <v>184</v>
      </c>
      <c r="P491" s="293">
        <v>52191.35</v>
      </c>
      <c r="Q491" s="294">
        <v>0</v>
      </c>
      <c r="R491" s="294">
        <v>0</v>
      </c>
      <c r="S491" s="294">
        <v>0</v>
      </c>
      <c r="T491" s="294">
        <v>0</v>
      </c>
      <c r="U491" s="294">
        <v>0</v>
      </c>
    </row>
    <row r="492" spans="1:21" hidden="1" x14ac:dyDescent="0.25">
      <c r="A492" s="291">
        <v>291708</v>
      </c>
      <c r="B492" s="290" t="s">
        <v>185</v>
      </c>
      <c r="C492" s="292">
        <v>38992</v>
      </c>
      <c r="D492" s="292">
        <v>38992.333333333336</v>
      </c>
      <c r="E492" s="290" t="s">
        <v>186</v>
      </c>
      <c r="F492" s="290" t="s">
        <v>262</v>
      </c>
      <c r="G492" s="290" t="s">
        <v>251</v>
      </c>
      <c r="H492" s="290" t="s">
        <v>181</v>
      </c>
      <c r="I492" s="290" t="s">
        <v>182</v>
      </c>
      <c r="J492" s="290" t="s">
        <v>183</v>
      </c>
      <c r="K492" s="290" t="s">
        <v>183</v>
      </c>
      <c r="L492" s="293">
        <v>0</v>
      </c>
      <c r="M492" s="293">
        <v>29.643999999999998</v>
      </c>
      <c r="N492" s="293">
        <v>38.479999999999997</v>
      </c>
      <c r="O492" s="290" t="s">
        <v>184</v>
      </c>
      <c r="P492" s="293">
        <v>16443.849999999999</v>
      </c>
      <c r="Q492" s="294">
        <v>0</v>
      </c>
      <c r="R492" s="294">
        <v>0</v>
      </c>
      <c r="S492" s="294">
        <v>0</v>
      </c>
      <c r="T492" s="294">
        <v>0</v>
      </c>
      <c r="U492" s="294">
        <v>0</v>
      </c>
    </row>
    <row r="493" spans="1:21" hidden="1" x14ac:dyDescent="0.25">
      <c r="A493" s="291">
        <v>291707</v>
      </c>
      <c r="B493" s="290" t="s">
        <v>185</v>
      </c>
      <c r="C493" s="292">
        <v>38992</v>
      </c>
      <c r="D493" s="292">
        <v>38992.333333333336</v>
      </c>
      <c r="E493" s="290" t="s">
        <v>186</v>
      </c>
      <c r="F493" s="290" t="s">
        <v>262</v>
      </c>
      <c r="G493" s="290" t="s">
        <v>250</v>
      </c>
      <c r="H493" s="290" t="s">
        <v>181</v>
      </c>
      <c r="I493" s="290" t="s">
        <v>194</v>
      </c>
      <c r="J493" s="290" t="s">
        <v>183</v>
      </c>
      <c r="K493" s="290" t="s">
        <v>183</v>
      </c>
      <c r="L493" s="293">
        <v>0</v>
      </c>
      <c r="M493" s="293">
        <v>0</v>
      </c>
      <c r="N493" s="293">
        <v>3.4409999999999998</v>
      </c>
      <c r="O493" s="290" t="s">
        <v>184</v>
      </c>
      <c r="P493" s="293">
        <v>60308</v>
      </c>
      <c r="Q493" s="294">
        <v>1242</v>
      </c>
      <c r="R493" s="294">
        <v>725.5</v>
      </c>
      <c r="S493" s="294">
        <v>0</v>
      </c>
      <c r="T493" s="294">
        <v>0</v>
      </c>
      <c r="U493" s="294">
        <v>1967.5</v>
      </c>
    </row>
    <row r="494" spans="1:21" hidden="1" x14ac:dyDescent="0.25">
      <c r="A494" s="291">
        <v>284846</v>
      </c>
      <c r="B494" s="290" t="s">
        <v>185</v>
      </c>
      <c r="C494" s="292">
        <v>38973</v>
      </c>
      <c r="D494" s="292">
        <v>38973.333333333336</v>
      </c>
      <c r="E494" s="290" t="s">
        <v>258</v>
      </c>
      <c r="F494" s="290" t="s">
        <v>259</v>
      </c>
      <c r="G494" s="290" t="s">
        <v>251</v>
      </c>
      <c r="H494" s="290" t="s">
        <v>260</v>
      </c>
      <c r="I494" s="290" t="s">
        <v>182</v>
      </c>
      <c r="J494" s="290" t="s">
        <v>183</v>
      </c>
      <c r="K494" s="290" t="s">
        <v>183</v>
      </c>
      <c r="L494" s="293">
        <v>0</v>
      </c>
      <c r="M494" s="293">
        <v>0</v>
      </c>
      <c r="N494" s="293">
        <v>28.173999999999999</v>
      </c>
      <c r="O494" s="290" t="s">
        <v>184</v>
      </c>
      <c r="P494" s="293">
        <v>0.73</v>
      </c>
      <c r="Q494" s="294">
        <v>30.5</v>
      </c>
      <c r="R494" s="294">
        <v>26.86</v>
      </c>
      <c r="S494" s="294">
        <v>0</v>
      </c>
      <c r="T494" s="294">
        <v>0</v>
      </c>
      <c r="U494" s="294">
        <v>57.36</v>
      </c>
    </row>
    <row r="495" spans="1:21" hidden="1" x14ac:dyDescent="0.25">
      <c r="A495" s="291">
        <v>284846</v>
      </c>
      <c r="B495" s="290" t="s">
        <v>185</v>
      </c>
      <c r="C495" s="292">
        <v>38973</v>
      </c>
      <c r="D495" s="292">
        <v>38973.333333333336</v>
      </c>
      <c r="E495" s="290" t="s">
        <v>258</v>
      </c>
      <c r="F495" s="290" t="s">
        <v>259</v>
      </c>
      <c r="G495" s="290" t="s">
        <v>251</v>
      </c>
      <c r="H495" s="290" t="s">
        <v>260</v>
      </c>
      <c r="I495" s="290" t="s">
        <v>182</v>
      </c>
      <c r="J495" s="290" t="s">
        <v>183</v>
      </c>
      <c r="K495" s="290" t="s">
        <v>183</v>
      </c>
      <c r="L495" s="293">
        <v>0</v>
      </c>
      <c r="M495" s="293">
        <v>29.643999999999998</v>
      </c>
      <c r="N495" s="293">
        <v>38.479999999999997</v>
      </c>
      <c r="O495" s="290" t="s">
        <v>184</v>
      </c>
      <c r="P495" s="293">
        <v>0.23</v>
      </c>
      <c r="Q495" s="294">
        <v>9.61</v>
      </c>
      <c r="R495" s="294">
        <v>8.4600000000000009</v>
      </c>
      <c r="S495" s="294">
        <v>0</v>
      </c>
      <c r="T495" s="294">
        <v>0</v>
      </c>
      <c r="U495" s="294">
        <v>18.07</v>
      </c>
    </row>
    <row r="496" spans="1:21" hidden="1" x14ac:dyDescent="0.25">
      <c r="A496" s="291">
        <v>284845</v>
      </c>
      <c r="B496" s="290" t="s">
        <v>185</v>
      </c>
      <c r="C496" s="292">
        <v>38973</v>
      </c>
      <c r="D496" s="292">
        <v>38973.333333333336</v>
      </c>
      <c r="E496" s="290" t="s">
        <v>258</v>
      </c>
      <c r="F496" s="290" t="s">
        <v>259</v>
      </c>
      <c r="G496" s="290" t="s">
        <v>251</v>
      </c>
      <c r="H496" s="290" t="s">
        <v>260</v>
      </c>
      <c r="I496" s="290" t="s">
        <v>182</v>
      </c>
      <c r="J496" s="290" t="s">
        <v>183</v>
      </c>
      <c r="K496" s="290" t="s">
        <v>183</v>
      </c>
      <c r="L496" s="293">
        <v>0</v>
      </c>
      <c r="M496" s="293">
        <v>0</v>
      </c>
      <c r="N496" s="293">
        <v>28.173999999999999</v>
      </c>
      <c r="O496" s="290" t="s">
        <v>184</v>
      </c>
      <c r="P496" s="293">
        <v>0.73</v>
      </c>
      <c r="Q496" s="294">
        <v>30.5</v>
      </c>
      <c r="R496" s="294">
        <v>26.86</v>
      </c>
      <c r="S496" s="294">
        <v>0</v>
      </c>
      <c r="T496" s="294">
        <v>0</v>
      </c>
      <c r="U496" s="294">
        <v>57.36</v>
      </c>
    </row>
    <row r="497" spans="1:21" hidden="1" x14ac:dyDescent="0.25">
      <c r="A497" s="291">
        <v>284845</v>
      </c>
      <c r="B497" s="290" t="s">
        <v>185</v>
      </c>
      <c r="C497" s="292">
        <v>38973</v>
      </c>
      <c r="D497" s="292">
        <v>38973.333333333336</v>
      </c>
      <c r="E497" s="290" t="s">
        <v>258</v>
      </c>
      <c r="F497" s="290" t="s">
        <v>259</v>
      </c>
      <c r="G497" s="290" t="s">
        <v>251</v>
      </c>
      <c r="H497" s="290" t="s">
        <v>260</v>
      </c>
      <c r="I497" s="290" t="s">
        <v>182</v>
      </c>
      <c r="J497" s="290" t="s">
        <v>183</v>
      </c>
      <c r="K497" s="290" t="s">
        <v>183</v>
      </c>
      <c r="L497" s="293">
        <v>0</v>
      </c>
      <c r="M497" s="293">
        <v>29.643999999999998</v>
      </c>
      <c r="N497" s="293">
        <v>38.479999999999997</v>
      </c>
      <c r="O497" s="290" t="s">
        <v>184</v>
      </c>
      <c r="P497" s="293">
        <v>0.23</v>
      </c>
      <c r="Q497" s="294">
        <v>9.61</v>
      </c>
      <c r="R497" s="294">
        <v>8.4600000000000009</v>
      </c>
      <c r="S497" s="294">
        <v>0</v>
      </c>
      <c r="T497" s="294">
        <v>0</v>
      </c>
      <c r="U497" s="294">
        <v>18.07</v>
      </c>
    </row>
    <row r="498" spans="1:21" hidden="1" x14ac:dyDescent="0.25">
      <c r="A498" s="291">
        <v>284603</v>
      </c>
      <c r="B498" s="290" t="s">
        <v>185</v>
      </c>
      <c r="C498" s="292">
        <v>38972</v>
      </c>
      <c r="D498" s="292">
        <v>38972.333333333336</v>
      </c>
      <c r="E498" s="290" t="s">
        <v>186</v>
      </c>
      <c r="F498" s="290" t="s">
        <v>270</v>
      </c>
      <c r="G498" s="290" t="s">
        <v>251</v>
      </c>
      <c r="H498" s="290" t="s">
        <v>181</v>
      </c>
      <c r="I498" s="290" t="s">
        <v>182</v>
      </c>
      <c r="J498" s="290" t="s">
        <v>183</v>
      </c>
      <c r="K498" s="290" t="s">
        <v>183</v>
      </c>
      <c r="L498" s="293">
        <v>0</v>
      </c>
      <c r="M498" s="293">
        <v>0</v>
      </c>
      <c r="N498" s="293">
        <v>28.173999999999999</v>
      </c>
      <c r="O498" s="290" t="s">
        <v>184</v>
      </c>
      <c r="P498" s="293">
        <v>12.41</v>
      </c>
      <c r="Q498" s="294">
        <v>90.67</v>
      </c>
      <c r="R498" s="294">
        <v>28.45</v>
      </c>
      <c r="S498" s="294">
        <v>0</v>
      </c>
      <c r="T498" s="294">
        <v>0</v>
      </c>
      <c r="U498" s="294">
        <v>119.11</v>
      </c>
    </row>
    <row r="499" spans="1:21" hidden="1" x14ac:dyDescent="0.25">
      <c r="A499" s="291">
        <v>284603</v>
      </c>
      <c r="B499" s="290" t="s">
        <v>185</v>
      </c>
      <c r="C499" s="292">
        <v>38972</v>
      </c>
      <c r="D499" s="292">
        <v>38972.333333333336</v>
      </c>
      <c r="E499" s="290" t="s">
        <v>186</v>
      </c>
      <c r="F499" s="290" t="s">
        <v>270</v>
      </c>
      <c r="G499" s="290" t="s">
        <v>251</v>
      </c>
      <c r="H499" s="290" t="s">
        <v>181</v>
      </c>
      <c r="I499" s="290" t="s">
        <v>182</v>
      </c>
      <c r="J499" s="290" t="s">
        <v>183</v>
      </c>
      <c r="K499" s="290" t="s">
        <v>183</v>
      </c>
      <c r="L499" s="293">
        <v>0</v>
      </c>
      <c r="M499" s="293">
        <v>29.643999999999998</v>
      </c>
      <c r="N499" s="293">
        <v>38.479999999999997</v>
      </c>
      <c r="O499" s="290" t="s">
        <v>184</v>
      </c>
      <c r="P499" s="293">
        <v>3.91</v>
      </c>
      <c r="Q499" s="294">
        <v>28.57</v>
      </c>
      <c r="R499" s="294">
        <v>8.9600000000000009</v>
      </c>
      <c r="S499" s="294">
        <v>0</v>
      </c>
      <c r="T499" s="294">
        <v>0</v>
      </c>
      <c r="U499" s="294">
        <v>37.53</v>
      </c>
    </row>
    <row r="500" spans="1:21" hidden="1" x14ac:dyDescent="0.25">
      <c r="A500" s="291">
        <v>281518</v>
      </c>
      <c r="B500" s="290" t="s">
        <v>212</v>
      </c>
      <c r="C500" s="292">
        <v>38961</v>
      </c>
      <c r="D500" s="292">
        <v>38961.333333333336</v>
      </c>
      <c r="E500" s="290" t="s">
        <v>240</v>
      </c>
      <c r="F500" s="290" t="s">
        <v>277</v>
      </c>
      <c r="G500" s="290" t="s">
        <v>251</v>
      </c>
      <c r="H500" s="290" t="s">
        <v>181</v>
      </c>
      <c r="I500" s="290" t="s">
        <v>182</v>
      </c>
      <c r="J500" s="290" t="s">
        <v>183</v>
      </c>
      <c r="K500" s="290" t="s">
        <v>183</v>
      </c>
      <c r="L500" s="293">
        <v>0</v>
      </c>
      <c r="M500" s="293">
        <v>0</v>
      </c>
      <c r="N500" s="293">
        <v>28.173999999999999</v>
      </c>
      <c r="O500" s="290" t="s">
        <v>184</v>
      </c>
      <c r="P500" s="293">
        <v>2.92</v>
      </c>
      <c r="Q500" s="294">
        <v>606.02</v>
      </c>
      <c r="R500" s="294">
        <v>395.31</v>
      </c>
      <c r="S500" s="294">
        <v>733.42</v>
      </c>
      <c r="T500" s="294">
        <v>0</v>
      </c>
      <c r="U500" s="294">
        <v>1734.74</v>
      </c>
    </row>
    <row r="501" spans="1:21" hidden="1" x14ac:dyDescent="0.25">
      <c r="A501" s="291">
        <v>281518</v>
      </c>
      <c r="B501" s="290" t="s">
        <v>212</v>
      </c>
      <c r="C501" s="292">
        <v>38961</v>
      </c>
      <c r="D501" s="292">
        <v>38961.333333333336</v>
      </c>
      <c r="E501" s="290" t="s">
        <v>240</v>
      </c>
      <c r="F501" s="290" t="s">
        <v>277</v>
      </c>
      <c r="G501" s="290" t="s">
        <v>251</v>
      </c>
      <c r="H501" s="290" t="s">
        <v>181</v>
      </c>
      <c r="I501" s="290" t="s">
        <v>182</v>
      </c>
      <c r="J501" s="290" t="s">
        <v>183</v>
      </c>
      <c r="K501" s="290" t="s">
        <v>183</v>
      </c>
      <c r="L501" s="293">
        <v>0</v>
      </c>
      <c r="M501" s="293">
        <v>29.643999999999998</v>
      </c>
      <c r="N501" s="293">
        <v>38.479999999999997</v>
      </c>
      <c r="O501" s="290" t="s">
        <v>184</v>
      </c>
      <c r="P501" s="293">
        <v>0.92</v>
      </c>
      <c r="Q501" s="294">
        <v>190.94</v>
      </c>
      <c r="R501" s="294">
        <v>124.55</v>
      </c>
      <c r="S501" s="294">
        <v>231.08</v>
      </c>
      <c r="T501" s="294">
        <v>0</v>
      </c>
      <c r="U501" s="294">
        <v>546.55999999999995</v>
      </c>
    </row>
    <row r="502" spans="1:21" hidden="1" x14ac:dyDescent="0.25">
      <c r="A502" s="291">
        <v>277868</v>
      </c>
      <c r="B502" s="290" t="s">
        <v>177</v>
      </c>
      <c r="C502" s="292">
        <v>38953</v>
      </c>
      <c r="D502" s="292">
        <v>38960</v>
      </c>
      <c r="E502" s="290" t="s">
        <v>190</v>
      </c>
      <c r="F502" s="290" t="s">
        <v>269</v>
      </c>
      <c r="G502" s="290" t="s">
        <v>251</v>
      </c>
      <c r="H502" s="290" t="s">
        <v>181</v>
      </c>
      <c r="I502" s="290" t="s">
        <v>182</v>
      </c>
      <c r="J502" s="290" t="s">
        <v>183</v>
      </c>
      <c r="K502" s="290" t="s">
        <v>183</v>
      </c>
      <c r="L502" s="293">
        <v>0</v>
      </c>
      <c r="M502" s="293">
        <v>0</v>
      </c>
      <c r="N502" s="293">
        <v>28.173999999999999</v>
      </c>
      <c r="O502" s="290" t="s">
        <v>184</v>
      </c>
      <c r="P502" s="293">
        <v>8614</v>
      </c>
      <c r="Q502" s="294">
        <v>3308.86</v>
      </c>
      <c r="R502" s="294">
        <v>1882.23</v>
      </c>
      <c r="S502" s="294">
        <v>926.41</v>
      </c>
      <c r="T502" s="294">
        <v>0</v>
      </c>
      <c r="U502" s="294">
        <v>6117.51</v>
      </c>
    </row>
    <row r="503" spans="1:21" hidden="1" x14ac:dyDescent="0.25">
      <c r="A503" s="291">
        <v>277868</v>
      </c>
      <c r="B503" s="290" t="s">
        <v>177</v>
      </c>
      <c r="C503" s="292">
        <v>38953</v>
      </c>
      <c r="D503" s="292">
        <v>38960</v>
      </c>
      <c r="E503" s="290" t="s">
        <v>190</v>
      </c>
      <c r="F503" s="290" t="s">
        <v>269</v>
      </c>
      <c r="G503" s="290" t="s">
        <v>251</v>
      </c>
      <c r="H503" s="290" t="s">
        <v>181</v>
      </c>
      <c r="I503" s="290" t="s">
        <v>182</v>
      </c>
      <c r="J503" s="290" t="s">
        <v>183</v>
      </c>
      <c r="K503" s="290" t="s">
        <v>183</v>
      </c>
      <c r="L503" s="293">
        <v>0</v>
      </c>
      <c r="M503" s="293">
        <v>29.643999999999998</v>
      </c>
      <c r="N503" s="293">
        <v>38.479999999999997</v>
      </c>
      <c r="O503" s="290" t="s">
        <v>184</v>
      </c>
      <c r="P503" s="293">
        <v>2714</v>
      </c>
      <c r="Q503" s="294">
        <v>1042.52</v>
      </c>
      <c r="R503" s="294">
        <v>593.03</v>
      </c>
      <c r="S503" s="294">
        <v>291.88</v>
      </c>
      <c r="T503" s="294">
        <v>0</v>
      </c>
      <c r="U503" s="294">
        <v>1927.43</v>
      </c>
    </row>
    <row r="504" spans="1:21" hidden="1" x14ac:dyDescent="0.25">
      <c r="A504" s="291">
        <v>275121</v>
      </c>
      <c r="B504" s="290" t="s">
        <v>185</v>
      </c>
      <c r="C504" s="292">
        <v>38944</v>
      </c>
      <c r="D504" s="292">
        <v>38944.333333333336</v>
      </c>
      <c r="E504" s="290" t="s">
        <v>186</v>
      </c>
      <c r="F504" s="290" t="s">
        <v>254</v>
      </c>
      <c r="G504" s="290" t="s">
        <v>250</v>
      </c>
      <c r="H504" s="290" t="s">
        <v>181</v>
      </c>
      <c r="I504" s="290" t="s">
        <v>194</v>
      </c>
      <c r="J504" s="290" t="s">
        <v>183</v>
      </c>
      <c r="K504" s="290" t="s">
        <v>183</v>
      </c>
      <c r="L504" s="293">
        <v>0</v>
      </c>
      <c r="M504" s="293">
        <v>0</v>
      </c>
      <c r="N504" s="293">
        <v>3.4409999999999998</v>
      </c>
      <c r="O504" s="290" t="s">
        <v>184</v>
      </c>
      <c r="P504" s="293">
        <v>13</v>
      </c>
      <c r="Q504" s="294">
        <v>82.8</v>
      </c>
      <c r="R504" s="294">
        <v>28.5</v>
      </c>
      <c r="S504" s="294">
        <v>0</v>
      </c>
      <c r="T504" s="294">
        <v>0</v>
      </c>
      <c r="U504" s="294">
        <v>111.3</v>
      </c>
    </row>
    <row r="505" spans="1:21" hidden="1" x14ac:dyDescent="0.25">
      <c r="A505" s="291">
        <v>274177</v>
      </c>
      <c r="B505" s="290" t="s">
        <v>177</v>
      </c>
      <c r="C505" s="292">
        <v>38943</v>
      </c>
      <c r="D505" s="292">
        <v>38943.333333333336</v>
      </c>
      <c r="E505" s="290" t="s">
        <v>190</v>
      </c>
      <c r="F505" s="290" t="s">
        <v>273</v>
      </c>
      <c r="G505" s="290" t="s">
        <v>251</v>
      </c>
      <c r="H505" s="290" t="s">
        <v>181</v>
      </c>
      <c r="I505" s="290" t="s">
        <v>182</v>
      </c>
      <c r="J505" s="290" t="s">
        <v>183</v>
      </c>
      <c r="K505" s="290" t="s">
        <v>183</v>
      </c>
      <c r="L505" s="293">
        <v>0</v>
      </c>
      <c r="M505" s="293">
        <v>0</v>
      </c>
      <c r="N505" s="293">
        <v>28.173999999999999</v>
      </c>
      <c r="O505" s="290" t="s">
        <v>184</v>
      </c>
      <c r="P505" s="293">
        <v>29.2</v>
      </c>
      <c r="Q505" s="294">
        <v>500.96</v>
      </c>
      <c r="R505" s="294">
        <v>130.22999999999999</v>
      </c>
      <c r="S505" s="294">
        <v>0</v>
      </c>
      <c r="T505" s="294">
        <v>0</v>
      </c>
      <c r="U505" s="294">
        <v>631.19000000000005</v>
      </c>
    </row>
    <row r="506" spans="1:21" hidden="1" x14ac:dyDescent="0.25">
      <c r="A506" s="291">
        <v>274177</v>
      </c>
      <c r="B506" s="290" t="s">
        <v>177</v>
      </c>
      <c r="C506" s="292">
        <v>38943</v>
      </c>
      <c r="D506" s="292">
        <v>38943.333333333336</v>
      </c>
      <c r="E506" s="290" t="s">
        <v>190</v>
      </c>
      <c r="F506" s="290" t="s">
        <v>273</v>
      </c>
      <c r="G506" s="290" t="s">
        <v>251</v>
      </c>
      <c r="H506" s="290" t="s">
        <v>181</v>
      </c>
      <c r="I506" s="290" t="s">
        <v>182</v>
      </c>
      <c r="J506" s="290" t="s">
        <v>183</v>
      </c>
      <c r="K506" s="290" t="s">
        <v>183</v>
      </c>
      <c r="L506" s="293">
        <v>0</v>
      </c>
      <c r="M506" s="293">
        <v>29.643999999999998</v>
      </c>
      <c r="N506" s="293">
        <v>38.479999999999997</v>
      </c>
      <c r="O506" s="290" t="s">
        <v>184</v>
      </c>
      <c r="P506" s="293">
        <v>9.1999999999999993</v>
      </c>
      <c r="Q506" s="294">
        <v>157.84</v>
      </c>
      <c r="R506" s="294">
        <v>41.03</v>
      </c>
      <c r="S506" s="294">
        <v>0</v>
      </c>
      <c r="T506" s="294">
        <v>0</v>
      </c>
      <c r="U506" s="294">
        <v>198.87</v>
      </c>
    </row>
    <row r="507" spans="1:21" hidden="1" x14ac:dyDescent="0.25">
      <c r="A507" s="291">
        <v>274005</v>
      </c>
      <c r="B507" s="290" t="s">
        <v>212</v>
      </c>
      <c r="C507" s="292">
        <v>38981</v>
      </c>
      <c r="D507" s="292">
        <v>39212.333333333336</v>
      </c>
      <c r="E507" s="290" t="s">
        <v>240</v>
      </c>
      <c r="F507" s="290" t="s">
        <v>264</v>
      </c>
      <c r="G507" s="290" t="s">
        <v>251</v>
      </c>
      <c r="H507" s="290" t="s">
        <v>181</v>
      </c>
      <c r="I507" s="290" t="s">
        <v>182</v>
      </c>
      <c r="J507" s="290" t="s">
        <v>183</v>
      </c>
      <c r="K507" s="290" t="s">
        <v>183</v>
      </c>
      <c r="L507" s="293">
        <v>0</v>
      </c>
      <c r="M507" s="293">
        <v>0</v>
      </c>
      <c r="N507" s="293">
        <v>28.173999999999999</v>
      </c>
      <c r="O507" s="290" t="s">
        <v>184</v>
      </c>
      <c r="P507" s="293">
        <v>51.1</v>
      </c>
      <c r="Q507" s="294">
        <v>1606.18</v>
      </c>
      <c r="R507" s="294">
        <v>815.79</v>
      </c>
      <c r="S507" s="294">
        <v>1327.67</v>
      </c>
      <c r="T507" s="294">
        <v>0</v>
      </c>
      <c r="U507" s="294">
        <v>3749.63</v>
      </c>
    </row>
    <row r="508" spans="1:21" hidden="1" x14ac:dyDescent="0.25">
      <c r="A508" s="291">
        <v>274005</v>
      </c>
      <c r="B508" s="290" t="s">
        <v>212</v>
      </c>
      <c r="C508" s="292">
        <v>38981</v>
      </c>
      <c r="D508" s="292">
        <v>39212.333333333336</v>
      </c>
      <c r="E508" s="290" t="s">
        <v>240</v>
      </c>
      <c r="F508" s="290" t="s">
        <v>264</v>
      </c>
      <c r="G508" s="290" t="s">
        <v>251</v>
      </c>
      <c r="H508" s="290" t="s">
        <v>181</v>
      </c>
      <c r="I508" s="290" t="s">
        <v>182</v>
      </c>
      <c r="J508" s="290" t="s">
        <v>183</v>
      </c>
      <c r="K508" s="290" t="s">
        <v>183</v>
      </c>
      <c r="L508" s="293">
        <v>0</v>
      </c>
      <c r="M508" s="293">
        <v>29.643999999999998</v>
      </c>
      <c r="N508" s="293">
        <v>38.479999999999997</v>
      </c>
      <c r="O508" s="290" t="s">
        <v>184</v>
      </c>
      <c r="P508" s="293">
        <v>16.100000000000001</v>
      </c>
      <c r="Q508" s="294">
        <v>506.06</v>
      </c>
      <c r="R508" s="294">
        <v>257.02999999999997</v>
      </c>
      <c r="S508" s="294">
        <v>418.31</v>
      </c>
      <c r="T508" s="294">
        <v>0</v>
      </c>
      <c r="U508" s="294">
        <v>1181.3900000000001</v>
      </c>
    </row>
    <row r="509" spans="1:21" hidden="1" x14ac:dyDescent="0.25">
      <c r="A509" s="291">
        <v>268532</v>
      </c>
      <c r="B509" s="290" t="s">
        <v>185</v>
      </c>
      <c r="C509" s="292">
        <v>38926</v>
      </c>
      <c r="D509" s="292">
        <v>38926.333333333336</v>
      </c>
      <c r="E509" s="290" t="s">
        <v>186</v>
      </c>
      <c r="F509" s="290" t="s">
        <v>256</v>
      </c>
      <c r="G509" s="290" t="s">
        <v>278</v>
      </c>
      <c r="H509" s="290" t="s">
        <v>181</v>
      </c>
      <c r="I509" s="290" t="s">
        <v>182</v>
      </c>
      <c r="J509" s="290" t="s">
        <v>183</v>
      </c>
      <c r="K509" s="290" t="s">
        <v>183</v>
      </c>
      <c r="L509" s="293">
        <v>0</v>
      </c>
      <c r="M509" s="293">
        <v>0</v>
      </c>
      <c r="N509" s="293">
        <v>28.173999999999999</v>
      </c>
      <c r="O509" s="290" t="s">
        <v>184</v>
      </c>
      <c r="P509" s="293">
        <v>1.92</v>
      </c>
      <c r="Q509" s="294">
        <v>158.97999999999999</v>
      </c>
      <c r="R509" s="294">
        <v>54.72</v>
      </c>
      <c r="S509" s="294">
        <v>0</v>
      </c>
      <c r="T509" s="294">
        <v>0</v>
      </c>
      <c r="U509" s="294">
        <v>213.7</v>
      </c>
    </row>
    <row r="510" spans="1:21" hidden="1" x14ac:dyDescent="0.25">
      <c r="A510" s="291">
        <v>268425</v>
      </c>
      <c r="B510" s="290" t="s">
        <v>177</v>
      </c>
      <c r="C510" s="292">
        <v>38926</v>
      </c>
      <c r="D510" s="292">
        <v>38929</v>
      </c>
      <c r="E510" s="290" t="s">
        <v>190</v>
      </c>
      <c r="F510" s="290" t="s">
        <v>279</v>
      </c>
      <c r="G510" s="290" t="s">
        <v>278</v>
      </c>
      <c r="H510" s="290" t="s">
        <v>181</v>
      </c>
      <c r="I510" s="290" t="s">
        <v>182</v>
      </c>
      <c r="J510" s="290" t="s">
        <v>183</v>
      </c>
      <c r="K510" s="290" t="s">
        <v>183</v>
      </c>
      <c r="L510" s="293">
        <v>0</v>
      </c>
      <c r="M510" s="293">
        <v>0</v>
      </c>
      <c r="N510" s="293">
        <v>28.173999999999999</v>
      </c>
      <c r="O510" s="290" t="s">
        <v>184</v>
      </c>
      <c r="P510" s="293">
        <v>7.68</v>
      </c>
      <c r="Q510" s="294">
        <v>1280.06</v>
      </c>
      <c r="R510" s="294">
        <v>201.98</v>
      </c>
      <c r="S510" s="294">
        <v>650.96</v>
      </c>
      <c r="T510" s="294">
        <v>0</v>
      </c>
      <c r="U510" s="294">
        <v>2133</v>
      </c>
    </row>
    <row r="511" spans="1:21" hidden="1" x14ac:dyDescent="0.25">
      <c r="A511" s="291">
        <v>260208</v>
      </c>
      <c r="B511" s="290" t="s">
        <v>212</v>
      </c>
      <c r="C511" s="292">
        <v>38922</v>
      </c>
      <c r="D511" s="292">
        <v>39225.333333333336</v>
      </c>
      <c r="E511" s="290" t="s">
        <v>240</v>
      </c>
      <c r="F511" s="290" t="s">
        <v>268</v>
      </c>
      <c r="G511" s="290" t="s">
        <v>278</v>
      </c>
      <c r="H511" s="290" t="s">
        <v>181</v>
      </c>
      <c r="I511" s="290" t="s">
        <v>182</v>
      </c>
      <c r="J511" s="290" t="s">
        <v>183</v>
      </c>
      <c r="K511" s="290" t="s">
        <v>183</v>
      </c>
      <c r="L511" s="293">
        <v>0</v>
      </c>
      <c r="M511" s="293">
        <v>0</v>
      </c>
      <c r="N511" s="293">
        <v>28.173999999999999</v>
      </c>
      <c r="O511" s="290" t="s">
        <v>184</v>
      </c>
      <c r="P511" s="293">
        <v>147.36000000000001</v>
      </c>
      <c r="Q511" s="294">
        <v>3170.69</v>
      </c>
      <c r="R511" s="294">
        <v>1241.95</v>
      </c>
      <c r="S511" s="294">
        <v>33.21</v>
      </c>
      <c r="T511" s="294">
        <v>0</v>
      </c>
      <c r="U511" s="294">
        <v>4445.8500000000004</v>
      </c>
    </row>
    <row r="512" spans="1:21" hidden="1" x14ac:dyDescent="0.25">
      <c r="A512" s="291">
        <v>252523</v>
      </c>
      <c r="B512" s="290" t="s">
        <v>212</v>
      </c>
      <c r="C512" s="292">
        <v>38889</v>
      </c>
      <c r="D512" s="292">
        <v>38891.333333333336</v>
      </c>
      <c r="E512" s="290" t="s">
        <v>240</v>
      </c>
      <c r="F512" s="290" t="s">
        <v>266</v>
      </c>
      <c r="G512" s="290" t="s">
        <v>278</v>
      </c>
      <c r="H512" s="290" t="s">
        <v>181</v>
      </c>
      <c r="I512" s="290" t="s">
        <v>182</v>
      </c>
      <c r="J512" s="290" t="s">
        <v>183</v>
      </c>
      <c r="K512" s="290" t="s">
        <v>183</v>
      </c>
      <c r="L512" s="293">
        <v>0</v>
      </c>
      <c r="M512" s="293">
        <v>0</v>
      </c>
      <c r="N512" s="293">
        <v>28.173999999999999</v>
      </c>
      <c r="O512" s="290" t="s">
        <v>184</v>
      </c>
      <c r="P512" s="293">
        <v>32.64</v>
      </c>
      <c r="Q512" s="294">
        <v>2718.03</v>
      </c>
      <c r="R512" s="294">
        <v>695.04</v>
      </c>
      <c r="S512" s="294">
        <v>641.32000000000005</v>
      </c>
      <c r="T512" s="294">
        <v>0</v>
      </c>
      <c r="U512" s="294">
        <v>4054.39</v>
      </c>
    </row>
    <row r="513" spans="1:21" hidden="1" x14ac:dyDescent="0.25">
      <c r="A513" s="291">
        <v>250712</v>
      </c>
      <c r="B513" s="290" t="s">
        <v>185</v>
      </c>
      <c r="C513" s="292">
        <v>38873</v>
      </c>
      <c r="D513" s="292">
        <v>38873.333333333336</v>
      </c>
      <c r="E513" s="290" t="s">
        <v>186</v>
      </c>
      <c r="F513" s="290" t="s">
        <v>274</v>
      </c>
      <c r="G513" s="290" t="s">
        <v>278</v>
      </c>
      <c r="H513" s="290" t="s">
        <v>181</v>
      </c>
      <c r="I513" s="290" t="s">
        <v>182</v>
      </c>
      <c r="J513" s="290" t="s">
        <v>183</v>
      </c>
      <c r="K513" s="290" t="s">
        <v>183</v>
      </c>
      <c r="L513" s="293">
        <v>0</v>
      </c>
      <c r="M513" s="293">
        <v>0</v>
      </c>
      <c r="N513" s="293">
        <v>28.173999999999999</v>
      </c>
      <c r="O513" s="290" t="s">
        <v>184</v>
      </c>
      <c r="P513" s="293">
        <v>5.76</v>
      </c>
      <c r="Q513" s="294">
        <v>86.82</v>
      </c>
      <c r="R513" s="294">
        <v>24.94</v>
      </c>
      <c r="S513" s="294">
        <v>0</v>
      </c>
      <c r="T513" s="294">
        <v>0</v>
      </c>
      <c r="U513" s="294">
        <v>111.76</v>
      </c>
    </row>
    <row r="514" spans="1:21" hidden="1" x14ac:dyDescent="0.25">
      <c r="A514" s="291">
        <v>249115</v>
      </c>
      <c r="B514" s="290" t="s">
        <v>185</v>
      </c>
      <c r="C514" s="292">
        <v>38868</v>
      </c>
      <c r="D514" s="292">
        <v>38868.333333333336</v>
      </c>
      <c r="E514" s="290" t="s">
        <v>186</v>
      </c>
      <c r="F514" s="290" t="s">
        <v>270</v>
      </c>
      <c r="G514" s="290" t="s">
        <v>278</v>
      </c>
      <c r="H514" s="290" t="s">
        <v>181</v>
      </c>
      <c r="I514" s="290" t="s">
        <v>182</v>
      </c>
      <c r="J514" s="290" t="s">
        <v>183</v>
      </c>
      <c r="K514" s="290" t="s">
        <v>183</v>
      </c>
      <c r="L514" s="293">
        <v>0</v>
      </c>
      <c r="M514" s="293">
        <v>0</v>
      </c>
      <c r="N514" s="293">
        <v>28.173999999999999</v>
      </c>
      <c r="O514" s="290" t="s">
        <v>184</v>
      </c>
      <c r="P514" s="293">
        <v>21.12</v>
      </c>
      <c r="Q514" s="294">
        <v>173.64</v>
      </c>
      <c r="R514" s="294">
        <v>49.88</v>
      </c>
      <c r="S514" s="294">
        <v>0</v>
      </c>
      <c r="T514" s="294">
        <v>0</v>
      </c>
      <c r="U514" s="294">
        <v>223.53</v>
      </c>
    </row>
    <row r="515" spans="1:21" hidden="1" x14ac:dyDescent="0.25">
      <c r="A515" s="291">
        <v>243136</v>
      </c>
      <c r="B515" s="290" t="s">
        <v>185</v>
      </c>
      <c r="C515" s="292">
        <v>38849</v>
      </c>
      <c r="D515" s="292">
        <v>38849.333333333336</v>
      </c>
      <c r="E515" s="290" t="s">
        <v>186</v>
      </c>
      <c r="F515" s="290" t="s">
        <v>270</v>
      </c>
      <c r="G515" s="290" t="s">
        <v>278</v>
      </c>
      <c r="H515" s="290" t="s">
        <v>181</v>
      </c>
      <c r="I515" s="290" t="s">
        <v>182</v>
      </c>
      <c r="J515" s="290" t="s">
        <v>183</v>
      </c>
      <c r="K515" s="290" t="s">
        <v>183</v>
      </c>
      <c r="L515" s="293">
        <v>0</v>
      </c>
      <c r="M515" s="293">
        <v>0</v>
      </c>
      <c r="N515" s="293">
        <v>28.173999999999999</v>
      </c>
      <c r="O515" s="290" t="s">
        <v>184</v>
      </c>
      <c r="P515" s="293">
        <v>5.28</v>
      </c>
      <c r="Q515" s="294">
        <v>86.82</v>
      </c>
      <c r="R515" s="294">
        <v>24.94</v>
      </c>
      <c r="S515" s="294">
        <v>0</v>
      </c>
      <c r="T515" s="294">
        <v>0</v>
      </c>
      <c r="U515" s="294">
        <v>111.76</v>
      </c>
    </row>
    <row r="516" spans="1:21" hidden="1" x14ac:dyDescent="0.25">
      <c r="A516" s="291">
        <v>241988</v>
      </c>
      <c r="B516" s="290" t="s">
        <v>185</v>
      </c>
      <c r="C516" s="292">
        <v>38847</v>
      </c>
      <c r="D516" s="292">
        <v>38847.333333333336</v>
      </c>
      <c r="E516" s="290" t="s">
        <v>186</v>
      </c>
      <c r="F516" s="290" t="s">
        <v>254</v>
      </c>
      <c r="G516" s="290" t="s">
        <v>278</v>
      </c>
      <c r="H516" s="290" t="s">
        <v>181</v>
      </c>
      <c r="I516" s="290" t="s">
        <v>182</v>
      </c>
      <c r="J516" s="290" t="s">
        <v>183</v>
      </c>
      <c r="K516" s="290" t="s">
        <v>183</v>
      </c>
      <c r="L516" s="293">
        <v>0</v>
      </c>
      <c r="M516" s="293">
        <v>0</v>
      </c>
      <c r="N516" s="293">
        <v>28.173999999999999</v>
      </c>
      <c r="O516" s="290" t="s">
        <v>184</v>
      </c>
      <c r="P516" s="293">
        <v>14.4</v>
      </c>
      <c r="Q516" s="294">
        <v>86.82</v>
      </c>
      <c r="R516" s="294">
        <v>24.94</v>
      </c>
      <c r="S516" s="294">
        <v>0</v>
      </c>
      <c r="T516" s="294">
        <v>0</v>
      </c>
      <c r="U516" s="294">
        <v>111.76</v>
      </c>
    </row>
    <row r="517" spans="1:21" hidden="1" x14ac:dyDescent="0.25">
      <c r="A517" s="291">
        <v>239186</v>
      </c>
      <c r="B517" s="290" t="s">
        <v>185</v>
      </c>
      <c r="C517" s="292">
        <v>38839</v>
      </c>
      <c r="D517" s="292">
        <v>38839.333333333336</v>
      </c>
      <c r="E517" s="290" t="s">
        <v>225</v>
      </c>
      <c r="F517" s="290" t="s">
        <v>256</v>
      </c>
      <c r="G517" s="290" t="s">
        <v>278</v>
      </c>
      <c r="H517" s="290" t="s">
        <v>197</v>
      </c>
      <c r="I517" s="290" t="s">
        <v>182</v>
      </c>
      <c r="J517" s="290" t="s">
        <v>183</v>
      </c>
      <c r="K517" s="290" t="s">
        <v>183</v>
      </c>
      <c r="L517" s="293">
        <v>0</v>
      </c>
      <c r="M517" s="293">
        <v>0</v>
      </c>
      <c r="N517" s="293">
        <v>28.173999999999999</v>
      </c>
      <c r="O517" s="290" t="s">
        <v>184</v>
      </c>
      <c r="P517" s="293">
        <v>2.88</v>
      </c>
      <c r="Q517" s="294">
        <v>173.64</v>
      </c>
      <c r="R517" s="294">
        <v>49.88</v>
      </c>
      <c r="S517" s="294">
        <v>0</v>
      </c>
      <c r="T517" s="294">
        <v>0</v>
      </c>
      <c r="U517" s="294">
        <v>223.53</v>
      </c>
    </row>
    <row r="518" spans="1:21" hidden="1" x14ac:dyDescent="0.25">
      <c r="A518" s="291">
        <v>239185</v>
      </c>
      <c r="B518" s="290" t="s">
        <v>185</v>
      </c>
      <c r="C518" s="292">
        <v>38839</v>
      </c>
      <c r="D518" s="292">
        <v>38839.333333333336</v>
      </c>
      <c r="E518" s="290" t="s">
        <v>225</v>
      </c>
      <c r="F518" s="290" t="s">
        <v>256</v>
      </c>
      <c r="G518" s="290" t="s">
        <v>278</v>
      </c>
      <c r="H518" s="290" t="s">
        <v>197</v>
      </c>
      <c r="I518" s="290" t="s">
        <v>182</v>
      </c>
      <c r="J518" s="290" t="s">
        <v>183</v>
      </c>
      <c r="K518" s="290" t="s">
        <v>183</v>
      </c>
      <c r="L518" s="293">
        <v>0</v>
      </c>
      <c r="M518" s="293">
        <v>0</v>
      </c>
      <c r="N518" s="293">
        <v>28.173999999999999</v>
      </c>
      <c r="O518" s="290" t="s">
        <v>184</v>
      </c>
      <c r="P518" s="293">
        <v>2.88</v>
      </c>
      <c r="Q518" s="294">
        <v>173.64</v>
      </c>
      <c r="R518" s="294">
        <v>49.88</v>
      </c>
      <c r="S518" s="294">
        <v>0</v>
      </c>
      <c r="T518" s="294">
        <v>0</v>
      </c>
      <c r="U518" s="294">
        <v>223.53</v>
      </c>
    </row>
    <row r="519" spans="1:21" hidden="1" x14ac:dyDescent="0.25">
      <c r="A519" s="291">
        <v>237978</v>
      </c>
      <c r="B519" s="290" t="s">
        <v>185</v>
      </c>
      <c r="C519" s="292">
        <v>38836</v>
      </c>
      <c r="D519" s="292">
        <v>38836.333333333336</v>
      </c>
      <c r="E519" s="290" t="s">
        <v>258</v>
      </c>
      <c r="F519" s="290" t="s">
        <v>280</v>
      </c>
      <c r="G519" s="290" t="s">
        <v>278</v>
      </c>
      <c r="H519" s="290" t="s">
        <v>260</v>
      </c>
      <c r="I519" s="290" t="s">
        <v>182</v>
      </c>
      <c r="J519" s="290" t="s">
        <v>183</v>
      </c>
      <c r="K519" s="290" t="s">
        <v>183</v>
      </c>
      <c r="L519" s="293">
        <v>0</v>
      </c>
      <c r="M519" s="293">
        <v>0</v>
      </c>
      <c r="N519" s="293">
        <v>28.173999999999999</v>
      </c>
      <c r="O519" s="290" t="s">
        <v>184</v>
      </c>
      <c r="P519" s="293">
        <v>0.96</v>
      </c>
      <c r="Q519" s="294">
        <v>107.57</v>
      </c>
      <c r="R519" s="294">
        <v>50.11</v>
      </c>
      <c r="S519" s="294">
        <v>0</v>
      </c>
      <c r="T519" s="294">
        <v>0</v>
      </c>
      <c r="U519" s="294">
        <v>157.68</v>
      </c>
    </row>
    <row r="520" spans="1:21" hidden="1" x14ac:dyDescent="0.25">
      <c r="A520" s="291">
        <v>234024</v>
      </c>
      <c r="B520" s="290" t="s">
        <v>185</v>
      </c>
      <c r="C520" s="292">
        <v>38824</v>
      </c>
      <c r="D520" s="292">
        <v>38824.333333333336</v>
      </c>
      <c r="E520" s="290" t="s">
        <v>186</v>
      </c>
      <c r="F520" s="290" t="s">
        <v>270</v>
      </c>
      <c r="G520" s="290" t="s">
        <v>278</v>
      </c>
      <c r="H520" s="290" t="s">
        <v>181</v>
      </c>
      <c r="I520" s="290" t="s">
        <v>182</v>
      </c>
      <c r="J520" s="290" t="s">
        <v>183</v>
      </c>
      <c r="K520" s="290" t="s">
        <v>183</v>
      </c>
      <c r="L520" s="293">
        <v>0</v>
      </c>
      <c r="M520" s="293">
        <v>0</v>
      </c>
      <c r="N520" s="293">
        <v>28.173999999999999</v>
      </c>
      <c r="O520" s="290" t="s">
        <v>184</v>
      </c>
      <c r="P520" s="293">
        <v>2.88</v>
      </c>
      <c r="Q520" s="294">
        <v>217.06</v>
      </c>
      <c r="R520" s="294">
        <v>62.35</v>
      </c>
      <c r="S520" s="294">
        <v>0</v>
      </c>
      <c r="T520" s="294">
        <v>0</v>
      </c>
      <c r="U520" s="294">
        <v>279.41000000000003</v>
      </c>
    </row>
    <row r="521" spans="1:21" hidden="1" x14ac:dyDescent="0.25">
      <c r="A521" s="291">
        <v>231306</v>
      </c>
      <c r="B521" s="290" t="s">
        <v>212</v>
      </c>
      <c r="C521" s="292">
        <v>38811</v>
      </c>
      <c r="D521" s="292">
        <v>38811.333333333336</v>
      </c>
      <c r="E521" s="290" t="s">
        <v>240</v>
      </c>
      <c r="F521" s="290" t="s">
        <v>268</v>
      </c>
      <c r="G521" s="290" t="s">
        <v>278</v>
      </c>
      <c r="H521" s="290" t="s">
        <v>181</v>
      </c>
      <c r="I521" s="290" t="s">
        <v>182</v>
      </c>
      <c r="J521" s="290" t="s">
        <v>183</v>
      </c>
      <c r="K521" s="290" t="s">
        <v>183</v>
      </c>
      <c r="L521" s="293">
        <v>0</v>
      </c>
      <c r="M521" s="293">
        <v>0</v>
      </c>
      <c r="N521" s="293">
        <v>28.173999999999999</v>
      </c>
      <c r="O521" s="290" t="s">
        <v>184</v>
      </c>
      <c r="P521" s="293">
        <v>25.92</v>
      </c>
      <c r="Q521" s="294">
        <v>598.69000000000005</v>
      </c>
      <c r="R521" s="294">
        <v>82.18</v>
      </c>
      <c r="S521" s="294">
        <v>0</v>
      </c>
      <c r="T521" s="294">
        <v>0</v>
      </c>
      <c r="U521" s="294">
        <v>680.87</v>
      </c>
    </row>
    <row r="522" spans="1:21" hidden="1" x14ac:dyDescent="0.25">
      <c r="A522" s="291">
        <v>228947</v>
      </c>
      <c r="B522" s="290" t="s">
        <v>185</v>
      </c>
      <c r="C522" s="292">
        <v>38806</v>
      </c>
      <c r="D522" s="292">
        <v>38806.333333333336</v>
      </c>
      <c r="E522" s="290" t="s">
        <v>186</v>
      </c>
      <c r="F522" s="290" t="s">
        <v>274</v>
      </c>
      <c r="G522" s="290" t="s">
        <v>278</v>
      </c>
      <c r="H522" s="290" t="s">
        <v>181</v>
      </c>
      <c r="I522" s="290" t="s">
        <v>182</v>
      </c>
      <c r="J522" s="290" t="s">
        <v>183</v>
      </c>
      <c r="K522" s="290" t="s">
        <v>183</v>
      </c>
      <c r="L522" s="293">
        <v>0</v>
      </c>
      <c r="M522" s="293">
        <v>0</v>
      </c>
      <c r="N522" s="293">
        <v>28.173999999999999</v>
      </c>
      <c r="O522" s="290" t="s">
        <v>184</v>
      </c>
      <c r="P522" s="293">
        <v>2.88</v>
      </c>
      <c r="Q522" s="294">
        <v>173.64</v>
      </c>
      <c r="R522" s="294">
        <v>140.88999999999999</v>
      </c>
      <c r="S522" s="294">
        <v>0</v>
      </c>
      <c r="T522" s="294">
        <v>0</v>
      </c>
      <c r="U522" s="294">
        <v>314.52999999999997</v>
      </c>
    </row>
    <row r="523" spans="1:21" hidden="1" x14ac:dyDescent="0.25">
      <c r="A523" s="291">
        <v>226394</v>
      </c>
      <c r="B523" s="290" t="s">
        <v>185</v>
      </c>
      <c r="C523" s="292">
        <v>38799</v>
      </c>
      <c r="D523" s="292">
        <v>38799.333333333336</v>
      </c>
      <c r="E523" s="290" t="s">
        <v>225</v>
      </c>
      <c r="F523" s="290" t="s">
        <v>281</v>
      </c>
      <c r="G523" s="290" t="s">
        <v>278</v>
      </c>
      <c r="H523" s="290" t="s">
        <v>197</v>
      </c>
      <c r="I523" s="290" t="s">
        <v>182</v>
      </c>
      <c r="J523" s="290" t="s">
        <v>183</v>
      </c>
      <c r="K523" s="290" t="s">
        <v>183</v>
      </c>
      <c r="L523" s="293">
        <v>0</v>
      </c>
      <c r="M523" s="293">
        <v>0</v>
      </c>
      <c r="N523" s="293">
        <v>28.173999999999999</v>
      </c>
      <c r="O523" s="290" t="s">
        <v>184</v>
      </c>
      <c r="P523" s="293">
        <v>72</v>
      </c>
      <c r="Q523" s="294">
        <v>1501.75</v>
      </c>
      <c r="R523" s="294">
        <v>140.54</v>
      </c>
      <c r="S523" s="294">
        <v>0</v>
      </c>
      <c r="T523" s="294">
        <v>0</v>
      </c>
      <c r="U523" s="294">
        <v>1642.29</v>
      </c>
    </row>
    <row r="524" spans="1:21" hidden="1" x14ac:dyDescent="0.25">
      <c r="A524" s="291">
        <v>223095</v>
      </c>
      <c r="B524" s="290" t="s">
        <v>185</v>
      </c>
      <c r="C524" s="292">
        <v>38791</v>
      </c>
      <c r="D524" s="292">
        <v>38791.333333333336</v>
      </c>
      <c r="E524" s="290" t="s">
        <v>186</v>
      </c>
      <c r="F524" s="290" t="s">
        <v>254</v>
      </c>
      <c r="G524" s="290" t="s">
        <v>278</v>
      </c>
      <c r="H524" s="290" t="s">
        <v>181</v>
      </c>
      <c r="I524" s="290" t="s">
        <v>182</v>
      </c>
      <c r="J524" s="290" t="s">
        <v>183</v>
      </c>
      <c r="K524" s="290" t="s">
        <v>183</v>
      </c>
      <c r="L524" s="293">
        <v>0</v>
      </c>
      <c r="M524" s="293">
        <v>0</v>
      </c>
      <c r="N524" s="293">
        <v>28.173999999999999</v>
      </c>
      <c r="O524" s="290" t="s">
        <v>184</v>
      </c>
      <c r="P524" s="293">
        <v>15.36</v>
      </c>
      <c r="Q524" s="294">
        <v>86.82</v>
      </c>
      <c r="R524" s="294">
        <v>24.94</v>
      </c>
      <c r="S524" s="294">
        <v>0</v>
      </c>
      <c r="T524" s="294">
        <v>0</v>
      </c>
      <c r="U524" s="294">
        <v>111.76</v>
      </c>
    </row>
    <row r="525" spans="1:21" hidden="1" x14ac:dyDescent="0.25">
      <c r="A525" s="291">
        <v>221620</v>
      </c>
      <c r="B525" s="290" t="s">
        <v>185</v>
      </c>
      <c r="C525" s="292">
        <v>38786</v>
      </c>
      <c r="D525" s="292">
        <v>38786.333333333336</v>
      </c>
      <c r="E525" s="290" t="s">
        <v>258</v>
      </c>
      <c r="F525" s="290" t="s">
        <v>259</v>
      </c>
      <c r="G525" s="290" t="s">
        <v>282</v>
      </c>
      <c r="H525" s="290" t="s">
        <v>260</v>
      </c>
      <c r="I525" s="290" t="s">
        <v>182</v>
      </c>
      <c r="J525" s="290" t="s">
        <v>183</v>
      </c>
      <c r="K525" s="290" t="s">
        <v>183</v>
      </c>
      <c r="L525" s="293">
        <v>0</v>
      </c>
      <c r="M525" s="293">
        <v>31.09</v>
      </c>
      <c r="N525" s="293">
        <v>38.479999999999997</v>
      </c>
      <c r="O525" s="290" t="s">
        <v>184</v>
      </c>
      <c r="P525" s="293">
        <v>1</v>
      </c>
      <c r="Q525" s="294">
        <v>33.619999999999997</v>
      </c>
      <c r="R525" s="294">
        <v>26.1</v>
      </c>
      <c r="S525" s="294">
        <v>0</v>
      </c>
      <c r="T525" s="294">
        <v>0</v>
      </c>
      <c r="U525" s="294">
        <v>59.72</v>
      </c>
    </row>
    <row r="526" spans="1:21" hidden="1" x14ac:dyDescent="0.25">
      <c r="A526" s="291">
        <v>221602</v>
      </c>
      <c r="B526" s="290" t="s">
        <v>185</v>
      </c>
      <c r="C526" s="292">
        <v>38786</v>
      </c>
      <c r="D526" s="292">
        <v>38786.333333333336</v>
      </c>
      <c r="E526" s="290" t="s">
        <v>258</v>
      </c>
      <c r="F526" s="290" t="s">
        <v>259</v>
      </c>
      <c r="G526" s="290" t="s">
        <v>283</v>
      </c>
      <c r="H526" s="290" t="s">
        <v>260</v>
      </c>
      <c r="I526" s="290" t="s">
        <v>182</v>
      </c>
      <c r="J526" s="290" t="s">
        <v>183</v>
      </c>
      <c r="K526" s="290" t="s">
        <v>183</v>
      </c>
      <c r="L526" s="293">
        <v>0</v>
      </c>
      <c r="M526" s="293">
        <v>30.95</v>
      </c>
      <c r="N526" s="293">
        <v>31.09</v>
      </c>
      <c r="O526" s="290" t="s">
        <v>184</v>
      </c>
      <c r="P526" s="293">
        <v>1</v>
      </c>
      <c r="Q526" s="294">
        <v>33.619999999999997</v>
      </c>
      <c r="R526" s="294">
        <v>26.1</v>
      </c>
      <c r="S526" s="294">
        <v>0</v>
      </c>
      <c r="T526" s="294">
        <v>0</v>
      </c>
      <c r="U526" s="294">
        <v>59.72</v>
      </c>
    </row>
    <row r="527" spans="1:21" hidden="1" x14ac:dyDescent="0.25">
      <c r="A527" s="291">
        <v>220973</v>
      </c>
      <c r="B527" s="290" t="s">
        <v>185</v>
      </c>
      <c r="C527" s="292">
        <v>38785</v>
      </c>
      <c r="D527" s="292">
        <v>38785.333333333336</v>
      </c>
      <c r="E527" s="290" t="s">
        <v>186</v>
      </c>
      <c r="F527" s="290" t="s">
        <v>274</v>
      </c>
      <c r="G527" s="290" t="s">
        <v>282</v>
      </c>
      <c r="H527" s="290" t="s">
        <v>181</v>
      </c>
      <c r="I527" s="290" t="s">
        <v>182</v>
      </c>
      <c r="J527" s="290" t="s">
        <v>183</v>
      </c>
      <c r="K527" s="290" t="s">
        <v>183</v>
      </c>
      <c r="L527" s="293">
        <v>0</v>
      </c>
      <c r="M527" s="293">
        <v>31.09</v>
      </c>
      <c r="N527" s="293">
        <v>38.479999999999997</v>
      </c>
      <c r="O527" s="290" t="s">
        <v>184</v>
      </c>
      <c r="P527" s="293">
        <v>6</v>
      </c>
      <c r="Q527" s="294">
        <v>226.1</v>
      </c>
      <c r="R527" s="294">
        <v>64.95</v>
      </c>
      <c r="S527" s="294">
        <v>0</v>
      </c>
      <c r="T527" s="294">
        <v>0</v>
      </c>
      <c r="U527" s="294">
        <v>291.05</v>
      </c>
    </row>
    <row r="528" spans="1:21" hidden="1" x14ac:dyDescent="0.25">
      <c r="A528" s="291">
        <v>220543</v>
      </c>
      <c r="B528" s="290" t="s">
        <v>185</v>
      </c>
      <c r="C528" s="292">
        <v>38784</v>
      </c>
      <c r="D528" s="292">
        <v>38784.333333333336</v>
      </c>
      <c r="E528" s="290" t="s">
        <v>186</v>
      </c>
      <c r="F528" s="290" t="s">
        <v>270</v>
      </c>
      <c r="G528" s="290" t="s">
        <v>278</v>
      </c>
      <c r="H528" s="290" t="s">
        <v>181</v>
      </c>
      <c r="I528" s="290" t="s">
        <v>182</v>
      </c>
      <c r="J528" s="290" t="s">
        <v>183</v>
      </c>
      <c r="K528" s="290" t="s">
        <v>183</v>
      </c>
      <c r="L528" s="293">
        <v>0</v>
      </c>
      <c r="M528" s="293">
        <v>0</v>
      </c>
      <c r="N528" s="293">
        <v>28.173999999999999</v>
      </c>
      <c r="O528" s="290" t="s">
        <v>184</v>
      </c>
      <c r="P528" s="293">
        <v>4.8</v>
      </c>
      <c r="Q528" s="294">
        <v>43.41</v>
      </c>
      <c r="R528" s="294">
        <v>12.47</v>
      </c>
      <c r="S528" s="294">
        <v>0</v>
      </c>
      <c r="T528" s="294">
        <v>0</v>
      </c>
      <c r="U528" s="294">
        <v>55.88</v>
      </c>
    </row>
    <row r="529" spans="1:21" hidden="1" x14ac:dyDescent="0.25">
      <c r="A529" s="291">
        <v>219545</v>
      </c>
      <c r="B529" s="290" t="s">
        <v>185</v>
      </c>
      <c r="C529" s="292">
        <v>38782</v>
      </c>
      <c r="D529" s="292">
        <v>38782.333333333336</v>
      </c>
      <c r="E529" s="290" t="s">
        <v>186</v>
      </c>
      <c r="F529" s="290" t="s">
        <v>281</v>
      </c>
      <c r="G529" s="290" t="s">
        <v>278</v>
      </c>
      <c r="H529" s="290" t="s">
        <v>181</v>
      </c>
      <c r="I529" s="290" t="s">
        <v>182</v>
      </c>
      <c r="J529" s="290" t="s">
        <v>183</v>
      </c>
      <c r="K529" s="290" t="s">
        <v>183</v>
      </c>
      <c r="L529" s="293">
        <v>0</v>
      </c>
      <c r="M529" s="293">
        <v>0</v>
      </c>
      <c r="N529" s="293">
        <v>28.173999999999999</v>
      </c>
      <c r="O529" s="290" t="s">
        <v>184</v>
      </c>
      <c r="P529" s="293">
        <v>48</v>
      </c>
      <c r="Q529" s="294">
        <v>1041.8699999999999</v>
      </c>
      <c r="R529" s="294">
        <v>140.54</v>
      </c>
      <c r="S529" s="294">
        <v>0</v>
      </c>
      <c r="T529" s="294">
        <v>0</v>
      </c>
      <c r="U529" s="294">
        <v>1182.4100000000001</v>
      </c>
    </row>
    <row r="530" spans="1:21" hidden="1" x14ac:dyDescent="0.25">
      <c r="A530" s="291">
        <v>217252</v>
      </c>
      <c r="B530" s="290" t="s">
        <v>185</v>
      </c>
      <c r="C530" s="292">
        <v>38775</v>
      </c>
      <c r="D530" s="292">
        <v>38775.333333333336</v>
      </c>
      <c r="E530" s="290" t="s">
        <v>186</v>
      </c>
      <c r="F530" s="290" t="s">
        <v>274</v>
      </c>
      <c r="G530" s="290" t="s">
        <v>278</v>
      </c>
      <c r="H530" s="290" t="s">
        <v>181</v>
      </c>
      <c r="I530" s="290" t="s">
        <v>182</v>
      </c>
      <c r="J530" s="290" t="s">
        <v>183</v>
      </c>
      <c r="K530" s="290" t="s">
        <v>183</v>
      </c>
      <c r="L530" s="293">
        <v>0</v>
      </c>
      <c r="M530" s="293">
        <v>0</v>
      </c>
      <c r="N530" s="293">
        <v>28.173999999999999</v>
      </c>
      <c r="O530" s="290" t="s">
        <v>184</v>
      </c>
      <c r="P530" s="293">
        <v>9.6</v>
      </c>
      <c r="Q530" s="294">
        <v>173.64</v>
      </c>
      <c r="R530" s="294">
        <v>49.88</v>
      </c>
      <c r="S530" s="294">
        <v>0</v>
      </c>
      <c r="T530" s="294">
        <v>0</v>
      </c>
      <c r="U530" s="294">
        <v>223.53</v>
      </c>
    </row>
    <row r="531" spans="1:21" hidden="1" x14ac:dyDescent="0.25">
      <c r="A531" s="291">
        <v>215860</v>
      </c>
      <c r="B531" s="290" t="s">
        <v>177</v>
      </c>
      <c r="C531" s="292">
        <v>38772</v>
      </c>
      <c r="D531" s="292">
        <v>38775</v>
      </c>
      <c r="E531" s="290" t="s">
        <v>284</v>
      </c>
      <c r="F531" s="290" t="s">
        <v>285</v>
      </c>
      <c r="G531" s="290" t="s">
        <v>278</v>
      </c>
      <c r="H531" s="290" t="s">
        <v>286</v>
      </c>
      <c r="I531" s="290" t="s">
        <v>182</v>
      </c>
      <c r="J531" s="290" t="s">
        <v>183</v>
      </c>
      <c r="K531" s="290" t="s">
        <v>183</v>
      </c>
      <c r="L531" s="293">
        <v>0</v>
      </c>
      <c r="M531" s="293">
        <v>0</v>
      </c>
      <c r="N531" s="293">
        <v>28.173999999999999</v>
      </c>
      <c r="O531" s="290" t="s">
        <v>184</v>
      </c>
      <c r="P531" s="293">
        <v>28.8</v>
      </c>
      <c r="Q531" s="294">
        <v>2305.08</v>
      </c>
      <c r="R531" s="294">
        <v>1148.54</v>
      </c>
      <c r="S531" s="294">
        <v>1322.92</v>
      </c>
      <c r="T531" s="294">
        <v>0</v>
      </c>
      <c r="U531" s="294">
        <v>4776.54</v>
      </c>
    </row>
    <row r="532" spans="1:21" hidden="1" x14ac:dyDescent="0.25">
      <c r="A532" s="291">
        <v>215371</v>
      </c>
      <c r="B532" s="290" t="s">
        <v>177</v>
      </c>
      <c r="C532" s="292">
        <v>38771</v>
      </c>
      <c r="D532" s="292">
        <v>38771.333333333336</v>
      </c>
      <c r="E532" s="290" t="s">
        <v>190</v>
      </c>
      <c r="F532" s="290" t="s">
        <v>279</v>
      </c>
      <c r="G532" s="290" t="s">
        <v>278</v>
      </c>
      <c r="H532" s="290" t="s">
        <v>181</v>
      </c>
      <c r="I532" s="290" t="s">
        <v>182</v>
      </c>
      <c r="J532" s="290" t="s">
        <v>183</v>
      </c>
      <c r="K532" s="290" t="s">
        <v>183</v>
      </c>
      <c r="L532" s="293">
        <v>0</v>
      </c>
      <c r="M532" s="293">
        <v>0</v>
      </c>
      <c r="N532" s="293">
        <v>28.173999999999999</v>
      </c>
      <c r="O532" s="290" t="s">
        <v>184</v>
      </c>
      <c r="P532" s="293">
        <v>7.68</v>
      </c>
      <c r="Q532" s="294">
        <v>1628.65</v>
      </c>
      <c r="R532" s="294">
        <v>407.42</v>
      </c>
      <c r="S532" s="294">
        <v>650.96</v>
      </c>
      <c r="T532" s="294">
        <v>0</v>
      </c>
      <c r="U532" s="294">
        <v>2687.03</v>
      </c>
    </row>
    <row r="533" spans="1:21" hidden="1" x14ac:dyDescent="0.25">
      <c r="A533" s="291">
        <v>214483</v>
      </c>
      <c r="B533" s="290" t="s">
        <v>177</v>
      </c>
      <c r="C533" s="292">
        <v>38769</v>
      </c>
      <c r="D533" s="292">
        <v>38775</v>
      </c>
      <c r="E533" s="290" t="s">
        <v>190</v>
      </c>
      <c r="F533" s="290" t="s">
        <v>273</v>
      </c>
      <c r="G533" s="290" t="s">
        <v>282</v>
      </c>
      <c r="H533" s="290" t="s">
        <v>181</v>
      </c>
      <c r="I533" s="290" t="s">
        <v>182</v>
      </c>
      <c r="J533" s="290" t="s">
        <v>183</v>
      </c>
      <c r="K533" s="290" t="s">
        <v>183</v>
      </c>
      <c r="L533" s="293">
        <v>0</v>
      </c>
      <c r="M533" s="293">
        <v>31.09</v>
      </c>
      <c r="N533" s="293">
        <v>38.479999999999997</v>
      </c>
      <c r="O533" s="290" t="s">
        <v>184</v>
      </c>
      <c r="P533" s="293">
        <v>30</v>
      </c>
      <c r="Q533" s="294">
        <v>1847.49</v>
      </c>
      <c r="R533" s="294">
        <v>484</v>
      </c>
      <c r="S533" s="294">
        <v>318.13</v>
      </c>
      <c r="T533" s="294">
        <v>0</v>
      </c>
      <c r="U533" s="294">
        <v>2649.62</v>
      </c>
    </row>
    <row r="534" spans="1:21" hidden="1" x14ac:dyDescent="0.25">
      <c r="A534" s="291">
        <v>213907</v>
      </c>
      <c r="B534" s="290" t="s">
        <v>185</v>
      </c>
      <c r="C534" s="292">
        <v>38765</v>
      </c>
      <c r="D534" s="292">
        <v>38765.333333333336</v>
      </c>
      <c r="E534" s="290" t="s">
        <v>186</v>
      </c>
      <c r="F534" s="290" t="s">
        <v>270</v>
      </c>
      <c r="G534" s="290" t="s">
        <v>278</v>
      </c>
      <c r="H534" s="290" t="s">
        <v>181</v>
      </c>
      <c r="I534" s="290" t="s">
        <v>182</v>
      </c>
      <c r="J534" s="290" t="s">
        <v>183</v>
      </c>
      <c r="K534" s="290" t="s">
        <v>183</v>
      </c>
      <c r="L534" s="293">
        <v>0</v>
      </c>
      <c r="M534" s="293">
        <v>0</v>
      </c>
      <c r="N534" s="293">
        <v>28.173999999999999</v>
      </c>
      <c r="O534" s="290" t="s">
        <v>184</v>
      </c>
      <c r="P534" s="293">
        <v>13.44</v>
      </c>
      <c r="Q534" s="294">
        <v>43.41</v>
      </c>
      <c r="R534" s="294">
        <v>12.47</v>
      </c>
      <c r="S534" s="294">
        <v>0</v>
      </c>
      <c r="T534" s="294">
        <v>0</v>
      </c>
      <c r="U534" s="294">
        <v>55.88</v>
      </c>
    </row>
    <row r="535" spans="1:21" hidden="1" x14ac:dyDescent="0.25">
      <c r="A535" s="291">
        <v>213906</v>
      </c>
      <c r="B535" s="290" t="s">
        <v>185</v>
      </c>
      <c r="C535" s="292">
        <v>38765</v>
      </c>
      <c r="D535" s="292">
        <v>38765.333333333336</v>
      </c>
      <c r="E535" s="290" t="s">
        <v>186</v>
      </c>
      <c r="F535" s="290" t="s">
        <v>274</v>
      </c>
      <c r="G535" s="290" t="s">
        <v>278</v>
      </c>
      <c r="H535" s="290" t="s">
        <v>181</v>
      </c>
      <c r="I535" s="290" t="s">
        <v>182</v>
      </c>
      <c r="J535" s="290" t="s">
        <v>183</v>
      </c>
      <c r="K535" s="290" t="s">
        <v>183</v>
      </c>
      <c r="L535" s="293">
        <v>0</v>
      </c>
      <c r="M535" s="293">
        <v>0</v>
      </c>
      <c r="N535" s="293">
        <v>28.173999999999999</v>
      </c>
      <c r="O535" s="290" t="s">
        <v>184</v>
      </c>
      <c r="P535" s="293">
        <v>4.8</v>
      </c>
      <c r="Q535" s="294">
        <v>130.22999999999999</v>
      </c>
      <c r="R535" s="294">
        <v>37.409999999999997</v>
      </c>
      <c r="S535" s="294">
        <v>0</v>
      </c>
      <c r="T535" s="294">
        <v>0</v>
      </c>
      <c r="U535" s="294">
        <v>167.64</v>
      </c>
    </row>
    <row r="536" spans="1:21" hidden="1" x14ac:dyDescent="0.25">
      <c r="A536" s="291">
        <v>213452</v>
      </c>
      <c r="B536" s="290" t="s">
        <v>185</v>
      </c>
      <c r="C536" s="292">
        <v>38765</v>
      </c>
      <c r="D536" s="292">
        <v>38765.333333333336</v>
      </c>
      <c r="E536" s="290" t="s">
        <v>225</v>
      </c>
      <c r="F536" s="290" t="s">
        <v>274</v>
      </c>
      <c r="G536" s="290" t="s">
        <v>278</v>
      </c>
      <c r="H536" s="290" t="s">
        <v>197</v>
      </c>
      <c r="I536" s="290" t="s">
        <v>182</v>
      </c>
      <c r="J536" s="290" t="s">
        <v>183</v>
      </c>
      <c r="K536" s="290" t="s">
        <v>183</v>
      </c>
      <c r="L536" s="293">
        <v>0</v>
      </c>
      <c r="M536" s="293">
        <v>0</v>
      </c>
      <c r="N536" s="293">
        <v>28.173999999999999</v>
      </c>
      <c r="O536" s="290" t="s">
        <v>184</v>
      </c>
      <c r="P536" s="293">
        <v>0</v>
      </c>
      <c r="Q536" s="294">
        <v>0</v>
      </c>
      <c r="R536" s="294">
        <v>0</v>
      </c>
      <c r="S536" s="294">
        <v>0</v>
      </c>
      <c r="T536" s="294">
        <v>0</v>
      </c>
      <c r="U536" s="294">
        <v>0</v>
      </c>
    </row>
    <row r="537" spans="1:21" hidden="1" x14ac:dyDescent="0.25">
      <c r="A537" s="291">
        <v>211603</v>
      </c>
      <c r="B537" s="290" t="s">
        <v>212</v>
      </c>
      <c r="C537" s="292">
        <v>38818</v>
      </c>
      <c r="D537" s="292">
        <v>38846.333333333336</v>
      </c>
      <c r="E537" s="290" t="s">
        <v>240</v>
      </c>
      <c r="F537" s="290" t="s">
        <v>264</v>
      </c>
      <c r="G537" s="290" t="s">
        <v>278</v>
      </c>
      <c r="H537" s="290" t="s">
        <v>181</v>
      </c>
      <c r="I537" s="290" t="s">
        <v>182</v>
      </c>
      <c r="J537" s="290" t="s">
        <v>183</v>
      </c>
      <c r="K537" s="290" t="s">
        <v>183</v>
      </c>
      <c r="L537" s="293">
        <v>0</v>
      </c>
      <c r="M537" s="293">
        <v>0</v>
      </c>
      <c r="N537" s="293">
        <v>28.173999999999999</v>
      </c>
      <c r="O537" s="290" t="s">
        <v>184</v>
      </c>
      <c r="P537" s="293">
        <v>36.479999999999997</v>
      </c>
      <c r="Q537" s="294">
        <v>1192.51</v>
      </c>
      <c r="R537" s="294">
        <v>753.02</v>
      </c>
      <c r="S537" s="294">
        <v>1115.29</v>
      </c>
      <c r="T537" s="294">
        <v>0</v>
      </c>
      <c r="U537" s="294">
        <v>3060.83</v>
      </c>
    </row>
    <row r="538" spans="1:21" hidden="1" x14ac:dyDescent="0.25">
      <c r="A538" s="291">
        <v>208357</v>
      </c>
      <c r="B538" s="290" t="s">
        <v>212</v>
      </c>
      <c r="C538" s="292">
        <v>38771</v>
      </c>
      <c r="D538" s="292">
        <v>38771.333333333336</v>
      </c>
      <c r="E538" s="290" t="s">
        <v>287</v>
      </c>
      <c r="F538" s="290" t="s">
        <v>268</v>
      </c>
      <c r="G538" s="290" t="s">
        <v>288</v>
      </c>
      <c r="H538" s="290" t="s">
        <v>286</v>
      </c>
      <c r="I538" s="290" t="s">
        <v>194</v>
      </c>
      <c r="J538" s="290" t="s">
        <v>183</v>
      </c>
      <c r="K538" s="290" t="s">
        <v>183</v>
      </c>
      <c r="L538" s="293">
        <v>0</v>
      </c>
      <c r="M538" s="293">
        <v>2.5</v>
      </c>
      <c r="N538" s="293">
        <v>3.4409999999999998</v>
      </c>
      <c r="O538" s="290" t="s">
        <v>184</v>
      </c>
      <c r="P538" s="293">
        <v>21.5</v>
      </c>
      <c r="Q538" s="294">
        <v>542.67999999999995</v>
      </c>
      <c r="R538" s="294">
        <v>108.8</v>
      </c>
      <c r="S538" s="294">
        <v>0</v>
      </c>
      <c r="T538" s="294">
        <v>0</v>
      </c>
      <c r="U538" s="294">
        <v>651.48</v>
      </c>
    </row>
    <row r="539" spans="1:21" hidden="1" x14ac:dyDescent="0.25">
      <c r="A539" s="291">
        <v>208114</v>
      </c>
      <c r="B539" s="290" t="s">
        <v>185</v>
      </c>
      <c r="C539" s="292">
        <v>38750</v>
      </c>
      <c r="D539" s="292">
        <v>38750.333333333336</v>
      </c>
      <c r="E539" s="290" t="s">
        <v>186</v>
      </c>
      <c r="F539" s="290" t="s">
        <v>281</v>
      </c>
      <c r="G539" s="290" t="s">
        <v>278</v>
      </c>
      <c r="H539" s="290" t="s">
        <v>181</v>
      </c>
      <c r="I539" s="290" t="s">
        <v>182</v>
      </c>
      <c r="J539" s="290" t="s">
        <v>183</v>
      </c>
      <c r="K539" s="290" t="s">
        <v>183</v>
      </c>
      <c r="L539" s="293">
        <v>0</v>
      </c>
      <c r="M539" s="293">
        <v>0</v>
      </c>
      <c r="N539" s="293">
        <v>28.173999999999999</v>
      </c>
      <c r="O539" s="290" t="s">
        <v>184</v>
      </c>
      <c r="P539" s="293">
        <v>57.6</v>
      </c>
      <c r="Q539" s="294">
        <v>1328.1</v>
      </c>
      <c r="R539" s="294">
        <v>140.54</v>
      </c>
      <c r="S539" s="294">
        <v>0</v>
      </c>
      <c r="T539" s="294">
        <v>0</v>
      </c>
      <c r="U539" s="294">
        <v>1468.65</v>
      </c>
    </row>
    <row r="540" spans="1:21" hidden="1" x14ac:dyDescent="0.25">
      <c r="A540" s="291">
        <v>205523</v>
      </c>
      <c r="B540" s="290" t="s">
        <v>185</v>
      </c>
      <c r="C540" s="292">
        <v>38743</v>
      </c>
      <c r="D540" s="292">
        <v>38743.333333333336</v>
      </c>
      <c r="E540" s="290" t="s">
        <v>186</v>
      </c>
      <c r="F540" s="290" t="s">
        <v>270</v>
      </c>
      <c r="G540" s="290" t="s">
        <v>278</v>
      </c>
      <c r="H540" s="290" t="s">
        <v>181</v>
      </c>
      <c r="I540" s="290" t="s">
        <v>182</v>
      </c>
      <c r="J540" s="290" t="s">
        <v>183</v>
      </c>
      <c r="K540" s="290" t="s">
        <v>183</v>
      </c>
      <c r="L540" s="293">
        <v>0</v>
      </c>
      <c r="M540" s="293">
        <v>0</v>
      </c>
      <c r="N540" s="293">
        <v>28.173999999999999</v>
      </c>
      <c r="O540" s="290" t="s">
        <v>184</v>
      </c>
      <c r="P540" s="293">
        <v>40.32</v>
      </c>
      <c r="Q540" s="294">
        <v>171.72</v>
      </c>
      <c r="R540" s="294">
        <v>99.76</v>
      </c>
      <c r="S540" s="294">
        <v>0</v>
      </c>
      <c r="T540" s="294">
        <v>0</v>
      </c>
      <c r="U540" s="294">
        <v>271.49</v>
      </c>
    </row>
    <row r="541" spans="1:21" hidden="1" x14ac:dyDescent="0.25">
      <c r="A541" s="291">
        <v>204445</v>
      </c>
      <c r="B541" s="290" t="s">
        <v>185</v>
      </c>
      <c r="C541" s="292">
        <v>38741</v>
      </c>
      <c r="D541" s="292">
        <v>38741.333333333336</v>
      </c>
      <c r="E541" s="290" t="s">
        <v>186</v>
      </c>
      <c r="F541" s="290" t="s">
        <v>270</v>
      </c>
      <c r="G541" s="290" t="s">
        <v>278</v>
      </c>
      <c r="H541" s="290" t="s">
        <v>181</v>
      </c>
      <c r="I541" s="290" t="s">
        <v>182</v>
      </c>
      <c r="J541" s="290" t="s">
        <v>183</v>
      </c>
      <c r="K541" s="290" t="s">
        <v>183</v>
      </c>
      <c r="L541" s="293">
        <v>0</v>
      </c>
      <c r="M541" s="293">
        <v>0</v>
      </c>
      <c r="N541" s="293">
        <v>28.173999999999999</v>
      </c>
      <c r="O541" s="290" t="s">
        <v>184</v>
      </c>
      <c r="P541" s="293">
        <v>47.04</v>
      </c>
      <c r="Q541" s="294">
        <v>343.45</v>
      </c>
      <c r="R541" s="294">
        <v>99.76</v>
      </c>
      <c r="S541" s="294">
        <v>0</v>
      </c>
      <c r="T541" s="294">
        <v>0</v>
      </c>
      <c r="U541" s="294">
        <v>443.21</v>
      </c>
    </row>
    <row r="542" spans="1:21" hidden="1" x14ac:dyDescent="0.25">
      <c r="A542" s="291">
        <v>202614</v>
      </c>
      <c r="B542" s="290" t="s">
        <v>185</v>
      </c>
      <c r="C542" s="292">
        <v>38735</v>
      </c>
      <c r="D542" s="292">
        <v>38735.333333333336</v>
      </c>
      <c r="E542" s="290" t="s">
        <v>186</v>
      </c>
      <c r="F542" s="290" t="s">
        <v>270</v>
      </c>
      <c r="G542" s="290" t="s">
        <v>278</v>
      </c>
      <c r="H542" s="290" t="s">
        <v>181</v>
      </c>
      <c r="I542" s="290" t="s">
        <v>182</v>
      </c>
      <c r="J542" s="290" t="s">
        <v>183</v>
      </c>
      <c r="K542" s="290" t="s">
        <v>183</v>
      </c>
      <c r="L542" s="293">
        <v>0</v>
      </c>
      <c r="M542" s="293">
        <v>0</v>
      </c>
      <c r="N542" s="293">
        <v>28.173999999999999</v>
      </c>
      <c r="O542" s="290" t="s">
        <v>184</v>
      </c>
      <c r="P542" s="293">
        <v>36.479999999999997</v>
      </c>
      <c r="Q542" s="294">
        <v>343.45</v>
      </c>
      <c r="R542" s="294">
        <v>99.76</v>
      </c>
      <c r="S542" s="294">
        <v>0</v>
      </c>
      <c r="T542" s="294">
        <v>0</v>
      </c>
      <c r="U542" s="294">
        <v>443.21</v>
      </c>
    </row>
    <row r="543" spans="1:21" hidden="1" x14ac:dyDescent="0.25">
      <c r="A543" s="291">
        <v>202400</v>
      </c>
      <c r="B543" s="290" t="s">
        <v>177</v>
      </c>
      <c r="C543" s="292">
        <v>38736</v>
      </c>
      <c r="D543" s="292">
        <v>38736.333333333336</v>
      </c>
      <c r="E543" s="290" t="s">
        <v>190</v>
      </c>
      <c r="F543" s="290" t="s">
        <v>289</v>
      </c>
      <c r="G543" s="290" t="s">
        <v>278</v>
      </c>
      <c r="H543" s="290" t="s">
        <v>181</v>
      </c>
      <c r="I543" s="290" t="s">
        <v>182</v>
      </c>
      <c r="J543" s="290" t="s">
        <v>183</v>
      </c>
      <c r="K543" s="290" t="s">
        <v>183</v>
      </c>
      <c r="L543" s="293">
        <v>0</v>
      </c>
      <c r="M543" s="293">
        <v>0</v>
      </c>
      <c r="N543" s="293">
        <v>28.173999999999999</v>
      </c>
      <c r="O543" s="290" t="s">
        <v>184</v>
      </c>
      <c r="P543" s="293">
        <v>19.2</v>
      </c>
      <c r="Q543" s="294">
        <v>898.63</v>
      </c>
      <c r="R543" s="294">
        <v>142.08000000000001</v>
      </c>
      <c r="S543" s="294">
        <v>0</v>
      </c>
      <c r="T543" s="294">
        <v>0</v>
      </c>
      <c r="U543" s="294">
        <v>1040.71</v>
      </c>
    </row>
    <row r="544" spans="1:21" hidden="1" x14ac:dyDescent="0.25">
      <c r="A544" s="291">
        <v>197482</v>
      </c>
      <c r="B544" s="290" t="s">
        <v>290</v>
      </c>
      <c r="C544" s="292">
        <v>38720</v>
      </c>
      <c r="D544" s="292">
        <v>38720.333333333336</v>
      </c>
      <c r="E544" s="290" t="s">
        <v>291</v>
      </c>
      <c r="F544" s="290" t="s">
        <v>292</v>
      </c>
      <c r="G544" s="290" t="s">
        <v>278</v>
      </c>
      <c r="H544" s="290" t="s">
        <v>293</v>
      </c>
      <c r="I544" s="290" t="s">
        <v>182</v>
      </c>
      <c r="J544" s="290" t="s">
        <v>183</v>
      </c>
      <c r="K544" s="290" t="s">
        <v>183</v>
      </c>
      <c r="L544" s="293">
        <v>0</v>
      </c>
      <c r="M544" s="293">
        <v>0</v>
      </c>
      <c r="N544" s="293">
        <v>28.173999999999999</v>
      </c>
      <c r="O544" s="290" t="s">
        <v>184</v>
      </c>
      <c r="P544" s="293">
        <v>129.6</v>
      </c>
      <c r="Q544" s="294">
        <v>1385.24</v>
      </c>
      <c r="R544" s="294">
        <v>478.16</v>
      </c>
      <c r="S544" s="294">
        <v>0</v>
      </c>
      <c r="T544" s="294">
        <v>0</v>
      </c>
      <c r="U544" s="294">
        <v>1863.4</v>
      </c>
    </row>
    <row r="545" spans="1:21" hidden="1" x14ac:dyDescent="0.25">
      <c r="A545" s="291">
        <v>194014</v>
      </c>
      <c r="B545" s="290" t="s">
        <v>185</v>
      </c>
      <c r="C545" s="292">
        <v>38699</v>
      </c>
      <c r="D545" s="292">
        <v>38699.333333333336</v>
      </c>
      <c r="E545" s="290" t="s">
        <v>186</v>
      </c>
      <c r="F545" s="290" t="s">
        <v>270</v>
      </c>
      <c r="G545" s="290" t="s">
        <v>278</v>
      </c>
      <c r="H545" s="290" t="s">
        <v>181</v>
      </c>
      <c r="I545" s="290" t="s">
        <v>182</v>
      </c>
      <c r="J545" s="290" t="s">
        <v>183</v>
      </c>
      <c r="K545" s="290" t="s">
        <v>183</v>
      </c>
      <c r="L545" s="293">
        <v>0</v>
      </c>
      <c r="M545" s="293">
        <v>0</v>
      </c>
      <c r="N545" s="293">
        <v>28.173999999999999</v>
      </c>
      <c r="O545" s="290" t="s">
        <v>184</v>
      </c>
      <c r="P545" s="293">
        <v>36.479999999999997</v>
      </c>
      <c r="Q545" s="294">
        <v>343.45</v>
      </c>
      <c r="R545" s="294">
        <v>99.76</v>
      </c>
      <c r="S545" s="294">
        <v>0</v>
      </c>
      <c r="T545" s="294">
        <v>0</v>
      </c>
      <c r="U545" s="294">
        <v>443.21</v>
      </c>
    </row>
    <row r="546" spans="1:21" hidden="1" x14ac:dyDescent="0.25">
      <c r="A546" s="291">
        <v>189592</v>
      </c>
      <c r="B546" s="290" t="s">
        <v>185</v>
      </c>
      <c r="C546" s="292">
        <v>38684</v>
      </c>
      <c r="D546" s="292">
        <v>38684.333333333336</v>
      </c>
      <c r="E546" s="290" t="s">
        <v>186</v>
      </c>
      <c r="F546" s="290" t="s">
        <v>274</v>
      </c>
      <c r="G546" s="290" t="s">
        <v>278</v>
      </c>
      <c r="H546" s="290" t="s">
        <v>181</v>
      </c>
      <c r="I546" s="290" t="s">
        <v>182</v>
      </c>
      <c r="J546" s="290" t="s">
        <v>183</v>
      </c>
      <c r="K546" s="290" t="s">
        <v>183</v>
      </c>
      <c r="L546" s="293">
        <v>0</v>
      </c>
      <c r="M546" s="293">
        <v>0</v>
      </c>
      <c r="N546" s="293">
        <v>28.173999999999999</v>
      </c>
      <c r="O546" s="290" t="s">
        <v>184</v>
      </c>
      <c r="P546" s="293">
        <v>36.479999999999997</v>
      </c>
      <c r="Q546" s="294">
        <v>343.45</v>
      </c>
      <c r="R546" s="294">
        <v>49.88</v>
      </c>
      <c r="S546" s="294">
        <v>0</v>
      </c>
      <c r="T546" s="294">
        <v>0</v>
      </c>
      <c r="U546" s="294">
        <v>393.33</v>
      </c>
    </row>
    <row r="547" spans="1:21" hidden="1" x14ac:dyDescent="0.25">
      <c r="A547" s="291">
        <v>183370</v>
      </c>
      <c r="B547" s="290" t="s">
        <v>185</v>
      </c>
      <c r="C547" s="292">
        <v>38657</v>
      </c>
      <c r="D547" s="292">
        <v>38657.333333333336</v>
      </c>
      <c r="E547" s="290" t="s">
        <v>186</v>
      </c>
      <c r="F547" s="290" t="s">
        <v>270</v>
      </c>
      <c r="G547" s="290" t="s">
        <v>278</v>
      </c>
      <c r="H547" s="290" t="s">
        <v>181</v>
      </c>
      <c r="I547" s="290" t="s">
        <v>182</v>
      </c>
      <c r="J547" s="290" t="s">
        <v>183</v>
      </c>
      <c r="K547" s="290" t="s">
        <v>183</v>
      </c>
      <c r="L547" s="293">
        <v>0</v>
      </c>
      <c r="M547" s="293">
        <v>0</v>
      </c>
      <c r="N547" s="293">
        <v>28.173999999999999</v>
      </c>
      <c r="O547" s="290" t="s">
        <v>184</v>
      </c>
      <c r="P547" s="293">
        <v>0</v>
      </c>
      <c r="Q547" s="294">
        <v>171.72</v>
      </c>
      <c r="R547" s="294">
        <v>49.88</v>
      </c>
      <c r="S547" s="294">
        <v>0</v>
      </c>
      <c r="T547" s="294">
        <v>0</v>
      </c>
      <c r="U547" s="294">
        <v>221.61</v>
      </c>
    </row>
    <row r="548" spans="1:21" hidden="1" x14ac:dyDescent="0.25">
      <c r="A548" s="291">
        <v>180274</v>
      </c>
      <c r="B548" s="290" t="s">
        <v>185</v>
      </c>
      <c r="C548" s="292">
        <v>38646</v>
      </c>
      <c r="D548" s="292">
        <v>38646.333333333336</v>
      </c>
      <c r="E548" s="290" t="s">
        <v>186</v>
      </c>
      <c r="F548" s="290" t="s">
        <v>270</v>
      </c>
      <c r="G548" s="290" t="s">
        <v>278</v>
      </c>
      <c r="H548" s="290" t="s">
        <v>181</v>
      </c>
      <c r="I548" s="290" t="s">
        <v>182</v>
      </c>
      <c r="J548" s="290" t="s">
        <v>183</v>
      </c>
      <c r="K548" s="290" t="s">
        <v>183</v>
      </c>
      <c r="L548" s="293">
        <v>0</v>
      </c>
      <c r="M548" s="293">
        <v>0</v>
      </c>
      <c r="N548" s="293">
        <v>28.173999999999999</v>
      </c>
      <c r="O548" s="290" t="s">
        <v>184</v>
      </c>
      <c r="P548" s="293">
        <v>0</v>
      </c>
      <c r="Q548" s="294">
        <v>0</v>
      </c>
      <c r="R548" s="294">
        <v>0</v>
      </c>
      <c r="S548" s="294">
        <v>0</v>
      </c>
      <c r="T548" s="294">
        <v>0</v>
      </c>
      <c r="U548" s="294">
        <v>0</v>
      </c>
    </row>
    <row r="549" spans="1:21" hidden="1" x14ac:dyDescent="0.25">
      <c r="A549" s="291">
        <v>176210</v>
      </c>
      <c r="B549" s="290" t="s">
        <v>185</v>
      </c>
      <c r="C549" s="292">
        <v>38632</v>
      </c>
      <c r="D549" s="292">
        <v>38632.333333333336</v>
      </c>
      <c r="E549" s="290" t="s">
        <v>225</v>
      </c>
      <c r="F549" s="290" t="s">
        <v>274</v>
      </c>
      <c r="G549" s="290" t="s">
        <v>278</v>
      </c>
      <c r="H549" s="290" t="s">
        <v>197</v>
      </c>
      <c r="I549" s="290" t="s">
        <v>182</v>
      </c>
      <c r="J549" s="290" t="s">
        <v>183</v>
      </c>
      <c r="K549" s="290" t="s">
        <v>183</v>
      </c>
      <c r="L549" s="293">
        <v>0</v>
      </c>
      <c r="M549" s="293">
        <v>0</v>
      </c>
      <c r="N549" s="293">
        <v>28.173999999999999</v>
      </c>
      <c r="O549" s="290" t="s">
        <v>184</v>
      </c>
      <c r="P549" s="293">
        <v>0</v>
      </c>
      <c r="Q549" s="294">
        <v>309.04000000000002</v>
      </c>
      <c r="R549" s="294">
        <v>99.76</v>
      </c>
      <c r="S549" s="294">
        <v>0</v>
      </c>
      <c r="T549" s="294">
        <v>0</v>
      </c>
      <c r="U549" s="294">
        <v>408.81</v>
      </c>
    </row>
    <row r="550" spans="1:21" hidden="1" x14ac:dyDescent="0.25">
      <c r="A550" s="291">
        <v>174436</v>
      </c>
      <c r="B550" s="290" t="s">
        <v>185</v>
      </c>
      <c r="C550" s="292">
        <v>38625</v>
      </c>
      <c r="D550" s="292">
        <v>38625.333333333336</v>
      </c>
      <c r="E550" s="290" t="s">
        <v>186</v>
      </c>
      <c r="F550" s="290" t="s">
        <v>270</v>
      </c>
      <c r="G550" s="290" t="s">
        <v>278</v>
      </c>
      <c r="H550" s="290" t="s">
        <v>181</v>
      </c>
      <c r="I550" s="290" t="s">
        <v>182</v>
      </c>
      <c r="J550" s="290" t="s">
        <v>183</v>
      </c>
      <c r="K550" s="290" t="s">
        <v>183</v>
      </c>
      <c r="L550" s="293">
        <v>0</v>
      </c>
      <c r="M550" s="293">
        <v>0</v>
      </c>
      <c r="N550" s="293">
        <v>28.173999999999999</v>
      </c>
      <c r="O550" s="290" t="s">
        <v>184</v>
      </c>
      <c r="P550" s="293">
        <v>0</v>
      </c>
      <c r="Q550" s="294">
        <v>309.04000000000002</v>
      </c>
      <c r="R550" s="294">
        <v>99.76</v>
      </c>
      <c r="S550" s="294">
        <v>0</v>
      </c>
      <c r="T550" s="294">
        <v>0</v>
      </c>
      <c r="U550" s="294">
        <v>408.81</v>
      </c>
    </row>
    <row r="551" spans="1:21" hidden="1" x14ac:dyDescent="0.25">
      <c r="A551" s="291">
        <v>174085</v>
      </c>
      <c r="B551" s="290" t="s">
        <v>185</v>
      </c>
      <c r="C551" s="292">
        <v>38623</v>
      </c>
      <c r="D551" s="292">
        <v>38623.333333333336</v>
      </c>
      <c r="E551" s="290" t="s">
        <v>186</v>
      </c>
      <c r="F551" s="290" t="s">
        <v>274</v>
      </c>
      <c r="G551" s="290" t="s">
        <v>278</v>
      </c>
      <c r="H551" s="290" t="s">
        <v>181</v>
      </c>
      <c r="I551" s="290" t="s">
        <v>182</v>
      </c>
      <c r="J551" s="290" t="s">
        <v>183</v>
      </c>
      <c r="K551" s="290" t="s">
        <v>183</v>
      </c>
      <c r="L551" s="293">
        <v>0</v>
      </c>
      <c r="M551" s="293">
        <v>0</v>
      </c>
      <c r="N551" s="293">
        <v>28.173999999999999</v>
      </c>
      <c r="O551" s="290" t="s">
        <v>184</v>
      </c>
      <c r="P551" s="293">
        <v>0</v>
      </c>
      <c r="Q551" s="294">
        <v>309.04000000000002</v>
      </c>
      <c r="R551" s="294">
        <v>99.76</v>
      </c>
      <c r="S551" s="294">
        <v>0</v>
      </c>
      <c r="T551" s="294">
        <v>0</v>
      </c>
      <c r="U551" s="294">
        <v>408.81</v>
      </c>
    </row>
    <row r="552" spans="1:21" hidden="1" x14ac:dyDescent="0.25">
      <c r="A552" s="291">
        <v>173059</v>
      </c>
      <c r="B552" s="290" t="s">
        <v>177</v>
      </c>
      <c r="C552" s="292">
        <v>38623</v>
      </c>
      <c r="D552" s="292">
        <v>38623.333333333336</v>
      </c>
      <c r="E552" s="290" t="s">
        <v>190</v>
      </c>
      <c r="F552" s="290" t="s">
        <v>269</v>
      </c>
      <c r="G552" s="290" t="s">
        <v>282</v>
      </c>
      <c r="H552" s="290" t="s">
        <v>181</v>
      </c>
      <c r="I552" s="290" t="s">
        <v>182</v>
      </c>
      <c r="J552" s="290" t="s">
        <v>183</v>
      </c>
      <c r="K552" s="290" t="s">
        <v>183</v>
      </c>
      <c r="L552" s="293">
        <v>0</v>
      </c>
      <c r="M552" s="293">
        <v>31.09</v>
      </c>
      <c r="N552" s="293">
        <v>38.479999999999997</v>
      </c>
      <c r="O552" s="290" t="s">
        <v>184</v>
      </c>
      <c r="P552" s="293">
        <v>50</v>
      </c>
      <c r="Q552" s="294">
        <v>857.66</v>
      </c>
      <c r="R552" s="294">
        <v>700</v>
      </c>
      <c r="S552" s="294">
        <v>0</v>
      </c>
      <c r="T552" s="294">
        <v>0</v>
      </c>
      <c r="U552" s="294">
        <v>1557.66</v>
      </c>
    </row>
    <row r="553" spans="1:21" hidden="1" x14ac:dyDescent="0.25">
      <c r="A553" s="291">
        <v>172735</v>
      </c>
      <c r="B553" s="290" t="s">
        <v>185</v>
      </c>
      <c r="C553" s="292">
        <v>38621</v>
      </c>
      <c r="D553" s="292">
        <v>38621.333333333336</v>
      </c>
      <c r="E553" s="290" t="s">
        <v>186</v>
      </c>
      <c r="F553" s="290" t="s">
        <v>256</v>
      </c>
      <c r="G553" s="290" t="s">
        <v>278</v>
      </c>
      <c r="H553" s="290" t="s">
        <v>181</v>
      </c>
      <c r="I553" s="290" t="s">
        <v>182</v>
      </c>
      <c r="J553" s="290" t="s">
        <v>183</v>
      </c>
      <c r="K553" s="290" t="s">
        <v>183</v>
      </c>
      <c r="L553" s="293">
        <v>0</v>
      </c>
      <c r="M553" s="293">
        <v>0</v>
      </c>
      <c r="N553" s="293">
        <v>28.173999999999999</v>
      </c>
      <c r="O553" s="290" t="s">
        <v>184</v>
      </c>
      <c r="P553" s="293">
        <v>0</v>
      </c>
      <c r="Q553" s="294">
        <v>154.52000000000001</v>
      </c>
      <c r="R553" s="294">
        <v>45.7</v>
      </c>
      <c r="S553" s="294">
        <v>0</v>
      </c>
      <c r="T553" s="294">
        <v>0</v>
      </c>
      <c r="U553" s="294">
        <v>200.22</v>
      </c>
    </row>
    <row r="554" spans="1:21" hidden="1" x14ac:dyDescent="0.25">
      <c r="A554" s="291">
        <v>172201</v>
      </c>
      <c r="B554" s="290" t="s">
        <v>185</v>
      </c>
      <c r="C554" s="292">
        <v>38617</v>
      </c>
      <c r="D554" s="292">
        <v>38617.333333333336</v>
      </c>
      <c r="E554" s="290" t="s">
        <v>186</v>
      </c>
      <c r="F554" s="290" t="s">
        <v>270</v>
      </c>
      <c r="G554" s="290" t="s">
        <v>278</v>
      </c>
      <c r="H554" s="290" t="s">
        <v>181</v>
      </c>
      <c r="I554" s="290" t="s">
        <v>182</v>
      </c>
      <c r="J554" s="290" t="s">
        <v>183</v>
      </c>
      <c r="K554" s="290" t="s">
        <v>183</v>
      </c>
      <c r="L554" s="293">
        <v>0</v>
      </c>
      <c r="M554" s="293">
        <v>0</v>
      </c>
      <c r="N554" s="293">
        <v>28.173999999999999</v>
      </c>
      <c r="O554" s="290" t="s">
        <v>184</v>
      </c>
      <c r="P554" s="293">
        <v>0</v>
      </c>
      <c r="Q554" s="294">
        <v>154.52000000000001</v>
      </c>
      <c r="R554" s="294">
        <v>49.88</v>
      </c>
      <c r="S554" s="294">
        <v>0</v>
      </c>
      <c r="T554" s="294">
        <v>0</v>
      </c>
      <c r="U554" s="294">
        <v>204.4</v>
      </c>
    </row>
    <row r="555" spans="1:21" hidden="1" x14ac:dyDescent="0.25">
      <c r="A555" s="291">
        <v>170369</v>
      </c>
      <c r="B555" s="290" t="s">
        <v>177</v>
      </c>
      <c r="C555" s="292">
        <v>38614</v>
      </c>
      <c r="D555" s="292">
        <v>38617</v>
      </c>
      <c r="E555" s="290" t="s">
        <v>190</v>
      </c>
      <c r="F555" s="290" t="s">
        <v>294</v>
      </c>
      <c r="G555" s="290" t="s">
        <v>282</v>
      </c>
      <c r="H555" s="290" t="s">
        <v>181</v>
      </c>
      <c r="I555" s="290" t="s">
        <v>182</v>
      </c>
      <c r="J555" s="290" t="s">
        <v>183</v>
      </c>
      <c r="K555" s="290" t="s">
        <v>183</v>
      </c>
      <c r="L555" s="293">
        <v>0</v>
      </c>
      <c r="M555" s="293">
        <v>31.09</v>
      </c>
      <c r="N555" s="293">
        <v>38.479999999999997</v>
      </c>
      <c r="O555" s="290" t="s">
        <v>184</v>
      </c>
      <c r="P555" s="293">
        <v>32</v>
      </c>
      <c r="Q555" s="294">
        <v>7411.79</v>
      </c>
      <c r="R555" s="294">
        <v>624</v>
      </c>
      <c r="S555" s="294">
        <v>0</v>
      </c>
      <c r="T555" s="294">
        <v>0</v>
      </c>
      <c r="U555" s="294">
        <v>8035.79</v>
      </c>
    </row>
    <row r="556" spans="1:21" hidden="1" x14ac:dyDescent="0.25">
      <c r="A556" s="291">
        <v>169314</v>
      </c>
      <c r="B556" s="290" t="s">
        <v>185</v>
      </c>
      <c r="C556" s="292">
        <v>38607</v>
      </c>
      <c r="D556" s="292">
        <v>38607.333333333336</v>
      </c>
      <c r="E556" s="290" t="s">
        <v>186</v>
      </c>
      <c r="F556" s="290" t="s">
        <v>270</v>
      </c>
      <c r="G556" s="290" t="s">
        <v>278</v>
      </c>
      <c r="H556" s="290" t="s">
        <v>181</v>
      </c>
      <c r="I556" s="290" t="s">
        <v>182</v>
      </c>
      <c r="J556" s="290" t="s">
        <v>183</v>
      </c>
      <c r="K556" s="290" t="s">
        <v>183</v>
      </c>
      <c r="L556" s="293">
        <v>0</v>
      </c>
      <c r="M556" s="293">
        <v>0</v>
      </c>
      <c r="N556" s="293">
        <v>28.173999999999999</v>
      </c>
      <c r="O556" s="290" t="s">
        <v>184</v>
      </c>
      <c r="P556" s="293">
        <v>0</v>
      </c>
      <c r="Q556" s="294">
        <v>309.04000000000002</v>
      </c>
      <c r="R556" s="294">
        <v>99.76</v>
      </c>
      <c r="S556" s="294">
        <v>0</v>
      </c>
      <c r="T556" s="294">
        <v>0</v>
      </c>
      <c r="U556" s="294">
        <v>408.81</v>
      </c>
    </row>
    <row r="557" spans="1:21" hidden="1" x14ac:dyDescent="0.25">
      <c r="A557" s="291">
        <v>167751</v>
      </c>
      <c r="B557" s="290" t="s">
        <v>185</v>
      </c>
      <c r="C557" s="292">
        <v>38597</v>
      </c>
      <c r="D557" s="292">
        <v>38597.333333333336</v>
      </c>
      <c r="E557" s="290" t="s">
        <v>186</v>
      </c>
      <c r="F557" s="290" t="s">
        <v>270</v>
      </c>
      <c r="G557" s="290" t="s">
        <v>278</v>
      </c>
      <c r="H557" s="290" t="s">
        <v>181</v>
      </c>
      <c r="I557" s="290" t="s">
        <v>182</v>
      </c>
      <c r="J557" s="290" t="s">
        <v>183</v>
      </c>
      <c r="K557" s="290" t="s">
        <v>183</v>
      </c>
      <c r="L557" s="293">
        <v>0</v>
      </c>
      <c r="M557" s="293">
        <v>0</v>
      </c>
      <c r="N557" s="293">
        <v>28.173999999999999</v>
      </c>
      <c r="O557" s="290" t="s">
        <v>184</v>
      </c>
      <c r="P557" s="293">
        <v>0</v>
      </c>
      <c r="Q557" s="294">
        <v>0</v>
      </c>
      <c r="R557" s="294">
        <v>0</v>
      </c>
      <c r="S557" s="294">
        <v>0</v>
      </c>
      <c r="T557" s="294">
        <v>0</v>
      </c>
      <c r="U557" s="294">
        <v>0</v>
      </c>
    </row>
    <row r="558" spans="1:21" hidden="1" x14ac:dyDescent="0.25">
      <c r="A558" s="291">
        <v>166591</v>
      </c>
      <c r="B558" s="290" t="s">
        <v>177</v>
      </c>
      <c r="C558" s="292">
        <v>38595</v>
      </c>
      <c r="D558" s="292">
        <v>38595.333333333336</v>
      </c>
      <c r="E558" s="290" t="s">
        <v>190</v>
      </c>
      <c r="F558" s="290" t="s">
        <v>267</v>
      </c>
      <c r="G558" s="290" t="s">
        <v>278</v>
      </c>
      <c r="H558" s="290" t="s">
        <v>181</v>
      </c>
      <c r="I558" s="290" t="s">
        <v>182</v>
      </c>
      <c r="J558" s="290" t="s">
        <v>183</v>
      </c>
      <c r="K558" s="290" t="s">
        <v>183</v>
      </c>
      <c r="L558" s="293">
        <v>0</v>
      </c>
      <c r="M558" s="293">
        <v>0</v>
      </c>
      <c r="N558" s="293">
        <v>28.173999999999999</v>
      </c>
      <c r="O558" s="290" t="s">
        <v>184</v>
      </c>
      <c r="P558" s="293">
        <v>31.2</v>
      </c>
      <c r="Q558" s="294">
        <v>697.2</v>
      </c>
      <c r="R558" s="294">
        <v>0</v>
      </c>
      <c r="S558" s="294">
        <v>0</v>
      </c>
      <c r="T558" s="294">
        <v>0</v>
      </c>
      <c r="U558" s="294">
        <v>697.2</v>
      </c>
    </row>
    <row r="559" spans="1:21" hidden="1" x14ac:dyDescent="0.25">
      <c r="A559" s="291">
        <v>166589</v>
      </c>
      <c r="B559" s="290" t="s">
        <v>177</v>
      </c>
      <c r="C559" s="292">
        <v>38595</v>
      </c>
      <c r="D559" s="292">
        <v>38595.333333333336</v>
      </c>
      <c r="E559" s="290" t="s">
        <v>190</v>
      </c>
      <c r="F559" s="290" t="s">
        <v>267</v>
      </c>
      <c r="G559" s="290" t="s">
        <v>282</v>
      </c>
      <c r="H559" s="290" t="s">
        <v>181</v>
      </c>
      <c r="I559" s="290" t="s">
        <v>182</v>
      </c>
      <c r="J559" s="290" t="s">
        <v>183</v>
      </c>
      <c r="K559" s="290" t="s">
        <v>183</v>
      </c>
      <c r="L559" s="293">
        <v>0</v>
      </c>
      <c r="M559" s="293">
        <v>31.09</v>
      </c>
      <c r="N559" s="293">
        <v>38.479999999999997</v>
      </c>
      <c r="O559" s="290" t="s">
        <v>184</v>
      </c>
      <c r="P559" s="293">
        <v>73</v>
      </c>
      <c r="Q559" s="294">
        <v>1534.64</v>
      </c>
      <c r="R559" s="294">
        <v>368</v>
      </c>
      <c r="S559" s="294">
        <v>0</v>
      </c>
      <c r="T559" s="294">
        <v>0</v>
      </c>
      <c r="U559" s="294">
        <v>1902.64</v>
      </c>
    </row>
    <row r="560" spans="1:21" hidden="1" x14ac:dyDescent="0.25">
      <c r="A560" s="291">
        <v>165612</v>
      </c>
      <c r="B560" s="290" t="s">
        <v>177</v>
      </c>
      <c r="C560" s="292">
        <v>38593</v>
      </c>
      <c r="D560" s="292">
        <v>38602</v>
      </c>
      <c r="E560" s="290" t="s">
        <v>190</v>
      </c>
      <c r="F560" s="290" t="s">
        <v>273</v>
      </c>
      <c r="G560" s="290" t="s">
        <v>288</v>
      </c>
      <c r="H560" s="290" t="s">
        <v>181</v>
      </c>
      <c r="I560" s="290" t="s">
        <v>194</v>
      </c>
      <c r="J560" s="290" t="s">
        <v>183</v>
      </c>
      <c r="K560" s="290" t="s">
        <v>183</v>
      </c>
      <c r="L560" s="293">
        <v>0</v>
      </c>
      <c r="M560" s="293">
        <v>2.5</v>
      </c>
      <c r="N560" s="293">
        <v>3.4409999999999998</v>
      </c>
      <c r="O560" s="290" t="s">
        <v>184</v>
      </c>
      <c r="P560" s="293">
        <v>30</v>
      </c>
      <c r="Q560" s="294">
        <v>1769.26</v>
      </c>
      <c r="R560" s="294">
        <v>506.4</v>
      </c>
      <c r="S560" s="294">
        <v>59.85</v>
      </c>
      <c r="T560" s="294">
        <v>0</v>
      </c>
      <c r="U560" s="294">
        <v>2335.5100000000002</v>
      </c>
    </row>
    <row r="561" spans="1:21" hidden="1" x14ac:dyDescent="0.25">
      <c r="A561" s="291">
        <v>165080</v>
      </c>
      <c r="B561" s="290" t="s">
        <v>185</v>
      </c>
      <c r="C561" s="292">
        <v>38589</v>
      </c>
      <c r="D561" s="292">
        <v>38589.333333333336</v>
      </c>
      <c r="E561" s="290" t="s">
        <v>186</v>
      </c>
      <c r="F561" s="290" t="s">
        <v>270</v>
      </c>
      <c r="G561" s="290" t="s">
        <v>278</v>
      </c>
      <c r="H561" s="290" t="s">
        <v>181</v>
      </c>
      <c r="I561" s="290" t="s">
        <v>182</v>
      </c>
      <c r="J561" s="290" t="s">
        <v>183</v>
      </c>
      <c r="K561" s="290" t="s">
        <v>183</v>
      </c>
      <c r="L561" s="293">
        <v>0</v>
      </c>
      <c r="M561" s="293">
        <v>0</v>
      </c>
      <c r="N561" s="293">
        <v>28.173999999999999</v>
      </c>
      <c r="O561" s="290" t="s">
        <v>184</v>
      </c>
      <c r="P561" s="293">
        <v>0</v>
      </c>
      <c r="Q561" s="294">
        <v>309.04000000000002</v>
      </c>
      <c r="R561" s="294">
        <v>99.76</v>
      </c>
      <c r="S561" s="294">
        <v>0</v>
      </c>
      <c r="T561" s="294">
        <v>0</v>
      </c>
      <c r="U561" s="294">
        <v>408.81</v>
      </c>
    </row>
    <row r="562" spans="1:21" hidden="1" x14ac:dyDescent="0.25">
      <c r="A562" s="291">
        <v>159162</v>
      </c>
      <c r="B562" s="290" t="s">
        <v>185</v>
      </c>
      <c r="C562" s="292">
        <v>38572</v>
      </c>
      <c r="D562" s="292">
        <v>38572.333333333336</v>
      </c>
      <c r="E562" s="290" t="s">
        <v>186</v>
      </c>
      <c r="F562" s="290" t="s">
        <v>270</v>
      </c>
      <c r="G562" s="290" t="s">
        <v>278</v>
      </c>
      <c r="H562" s="290" t="s">
        <v>181</v>
      </c>
      <c r="I562" s="290" t="s">
        <v>182</v>
      </c>
      <c r="J562" s="290" t="s">
        <v>183</v>
      </c>
      <c r="K562" s="290" t="s">
        <v>183</v>
      </c>
      <c r="L562" s="293">
        <v>0</v>
      </c>
      <c r="M562" s="293">
        <v>0</v>
      </c>
      <c r="N562" s="293">
        <v>28.173999999999999</v>
      </c>
      <c r="O562" s="290" t="s">
        <v>184</v>
      </c>
      <c r="P562" s="293">
        <v>0</v>
      </c>
      <c r="Q562" s="294">
        <v>309.04000000000002</v>
      </c>
      <c r="R562" s="294">
        <v>99.76</v>
      </c>
      <c r="S562" s="294">
        <v>0</v>
      </c>
      <c r="T562" s="294">
        <v>0</v>
      </c>
      <c r="U562" s="294">
        <v>408.81</v>
      </c>
    </row>
    <row r="563" spans="1:21" hidden="1" x14ac:dyDescent="0.25">
      <c r="A563" s="291">
        <v>153137</v>
      </c>
      <c r="B563" s="290" t="s">
        <v>185</v>
      </c>
      <c r="C563" s="292">
        <v>38554</v>
      </c>
      <c r="D563" s="292">
        <v>38554.333333333336</v>
      </c>
      <c r="E563" s="290" t="s">
        <v>186</v>
      </c>
      <c r="F563" s="290" t="s">
        <v>270</v>
      </c>
      <c r="G563" s="290" t="s">
        <v>278</v>
      </c>
      <c r="H563" s="290" t="s">
        <v>181</v>
      </c>
      <c r="I563" s="290" t="s">
        <v>182</v>
      </c>
      <c r="J563" s="290" t="s">
        <v>183</v>
      </c>
      <c r="K563" s="290" t="s">
        <v>183</v>
      </c>
      <c r="L563" s="293">
        <v>0</v>
      </c>
      <c r="M563" s="293">
        <v>0</v>
      </c>
      <c r="N563" s="293">
        <v>28.173999999999999</v>
      </c>
      <c r="O563" s="290" t="s">
        <v>184</v>
      </c>
      <c r="P563" s="293">
        <v>0</v>
      </c>
      <c r="Q563" s="294">
        <v>0</v>
      </c>
      <c r="R563" s="294">
        <v>0</v>
      </c>
      <c r="S563" s="294">
        <v>0</v>
      </c>
      <c r="T563" s="294">
        <v>0</v>
      </c>
      <c r="U563" s="294">
        <v>0</v>
      </c>
    </row>
    <row r="564" spans="1:21" hidden="1" x14ac:dyDescent="0.25">
      <c r="A564" s="291">
        <v>137862</v>
      </c>
      <c r="B564" s="290" t="s">
        <v>185</v>
      </c>
      <c r="C564" s="292">
        <v>38503</v>
      </c>
      <c r="D564" s="292">
        <v>38503.333333333336</v>
      </c>
      <c r="E564" s="290" t="s">
        <v>295</v>
      </c>
      <c r="F564" s="290" t="s">
        <v>270</v>
      </c>
      <c r="G564" s="290" t="s">
        <v>278</v>
      </c>
      <c r="H564" s="290" t="s">
        <v>197</v>
      </c>
      <c r="I564" s="290" t="s">
        <v>182</v>
      </c>
      <c r="J564" s="290" t="s">
        <v>183</v>
      </c>
      <c r="K564" s="290" t="s">
        <v>183</v>
      </c>
      <c r="L564" s="293">
        <v>0</v>
      </c>
      <c r="M564" s="293">
        <v>0</v>
      </c>
      <c r="N564" s="293">
        <v>28.173999999999999</v>
      </c>
      <c r="O564" s="290" t="s">
        <v>184</v>
      </c>
      <c r="P564" s="293">
        <v>0</v>
      </c>
      <c r="Q564" s="294">
        <v>306.12</v>
      </c>
      <c r="R564" s="294">
        <v>99.76</v>
      </c>
      <c r="S564" s="294">
        <v>0</v>
      </c>
      <c r="T564" s="294">
        <v>0</v>
      </c>
      <c r="U564" s="294">
        <v>405.89</v>
      </c>
    </row>
    <row r="565" spans="1:21" hidden="1" x14ac:dyDescent="0.25">
      <c r="A565" s="291">
        <v>135921</v>
      </c>
      <c r="B565" s="290" t="s">
        <v>185</v>
      </c>
      <c r="C565" s="292">
        <v>38495</v>
      </c>
      <c r="D565" s="292">
        <v>38495.333333333336</v>
      </c>
      <c r="E565" s="290" t="s">
        <v>296</v>
      </c>
      <c r="F565" s="290" t="s">
        <v>270</v>
      </c>
      <c r="G565" s="290" t="s">
        <v>278</v>
      </c>
      <c r="H565" s="290" t="s">
        <v>181</v>
      </c>
      <c r="I565" s="290" t="s">
        <v>182</v>
      </c>
      <c r="J565" s="290" t="s">
        <v>183</v>
      </c>
      <c r="K565" s="290" t="s">
        <v>183</v>
      </c>
      <c r="L565" s="293">
        <v>0</v>
      </c>
      <c r="M565" s="293">
        <v>0</v>
      </c>
      <c r="N565" s="293">
        <v>28.173999999999999</v>
      </c>
      <c r="O565" s="290" t="s">
        <v>184</v>
      </c>
      <c r="P565" s="293">
        <v>0</v>
      </c>
      <c r="Q565" s="294">
        <v>306.12</v>
      </c>
      <c r="R565" s="294">
        <v>99.76</v>
      </c>
      <c r="S565" s="294">
        <v>0</v>
      </c>
      <c r="T565" s="294">
        <v>0</v>
      </c>
      <c r="U565" s="294">
        <v>405.89</v>
      </c>
    </row>
    <row r="566" spans="1:21" hidden="1" x14ac:dyDescent="0.25">
      <c r="A566" s="291">
        <v>132369</v>
      </c>
      <c r="B566" s="290" t="s">
        <v>177</v>
      </c>
      <c r="C566" s="292">
        <v>38484</v>
      </c>
      <c r="D566" s="292">
        <v>38580</v>
      </c>
      <c r="E566" s="290" t="s">
        <v>297</v>
      </c>
      <c r="F566" s="290" t="s">
        <v>298</v>
      </c>
      <c r="G566" s="290" t="s">
        <v>282</v>
      </c>
      <c r="H566" s="290" t="s">
        <v>181</v>
      </c>
      <c r="I566" s="290" t="s">
        <v>182</v>
      </c>
      <c r="J566" s="290" t="s">
        <v>183</v>
      </c>
      <c r="K566" s="290" t="s">
        <v>183</v>
      </c>
      <c r="L566" s="293">
        <v>0</v>
      </c>
      <c r="M566" s="293">
        <v>31.09</v>
      </c>
      <c r="N566" s="293">
        <v>38.479999999999997</v>
      </c>
      <c r="O566" s="290" t="s">
        <v>184</v>
      </c>
      <c r="P566" s="293">
        <v>326.74</v>
      </c>
      <c r="Q566" s="294">
        <v>99350.66</v>
      </c>
      <c r="R566" s="294">
        <v>59369.67</v>
      </c>
      <c r="S566" s="294">
        <v>29938.94</v>
      </c>
      <c r="T566" s="294">
        <v>8.73</v>
      </c>
      <c r="U566" s="294">
        <v>188668</v>
      </c>
    </row>
    <row r="567" spans="1:21" hidden="1" x14ac:dyDescent="0.25">
      <c r="A567" s="291">
        <v>131984</v>
      </c>
      <c r="B567" s="290" t="s">
        <v>177</v>
      </c>
      <c r="C567" s="292">
        <v>38482</v>
      </c>
      <c r="D567" s="292">
        <v>38482.333333333336</v>
      </c>
      <c r="E567" s="290" t="s">
        <v>297</v>
      </c>
      <c r="F567" s="290" t="s">
        <v>299</v>
      </c>
      <c r="G567" s="290" t="s">
        <v>283</v>
      </c>
      <c r="H567" s="290" t="s">
        <v>181</v>
      </c>
      <c r="I567" s="290" t="s">
        <v>182</v>
      </c>
      <c r="J567" s="290" t="s">
        <v>183</v>
      </c>
      <c r="K567" s="290" t="s">
        <v>183</v>
      </c>
      <c r="L567" s="293">
        <v>0</v>
      </c>
      <c r="M567" s="293">
        <v>30.95</v>
      </c>
      <c r="N567" s="293">
        <v>31.09</v>
      </c>
      <c r="O567" s="290" t="s">
        <v>184</v>
      </c>
      <c r="P567" s="293">
        <v>1</v>
      </c>
      <c r="Q567" s="294">
        <v>670.24</v>
      </c>
      <c r="R567" s="294">
        <v>336</v>
      </c>
      <c r="S567" s="294">
        <v>0</v>
      </c>
      <c r="T567" s="294">
        <v>0</v>
      </c>
      <c r="U567" s="294">
        <v>1006.24</v>
      </c>
    </row>
    <row r="568" spans="1:21" hidden="1" x14ac:dyDescent="0.25">
      <c r="A568" s="291">
        <v>129005</v>
      </c>
      <c r="B568" s="290" t="s">
        <v>185</v>
      </c>
      <c r="C568" s="292">
        <v>38470</v>
      </c>
      <c r="D568" s="292">
        <v>38470.333333333336</v>
      </c>
      <c r="E568" s="290" t="s">
        <v>296</v>
      </c>
      <c r="F568" s="290" t="s">
        <v>254</v>
      </c>
      <c r="G568" s="290" t="s">
        <v>278</v>
      </c>
      <c r="H568" s="290" t="s">
        <v>181</v>
      </c>
      <c r="I568" s="290" t="s">
        <v>182</v>
      </c>
      <c r="J568" s="290" t="s">
        <v>183</v>
      </c>
      <c r="K568" s="290" t="s">
        <v>183</v>
      </c>
      <c r="L568" s="293">
        <v>0</v>
      </c>
      <c r="M568" s="293">
        <v>0</v>
      </c>
      <c r="N568" s="293">
        <v>28.173999999999999</v>
      </c>
      <c r="O568" s="290" t="s">
        <v>184</v>
      </c>
      <c r="P568" s="293">
        <v>0</v>
      </c>
      <c r="Q568" s="294">
        <v>264.35000000000002</v>
      </c>
      <c r="R568" s="294">
        <v>99.76</v>
      </c>
      <c r="S568" s="294">
        <v>0</v>
      </c>
      <c r="T568" s="294">
        <v>0</v>
      </c>
      <c r="U568" s="294">
        <v>364.11</v>
      </c>
    </row>
    <row r="569" spans="1:21" hidden="1" x14ac:dyDescent="0.25">
      <c r="A569" s="291">
        <v>128891</v>
      </c>
      <c r="B569" s="290" t="s">
        <v>177</v>
      </c>
      <c r="C569" s="292">
        <v>38470</v>
      </c>
      <c r="D569" s="292">
        <v>38483.333333333336</v>
      </c>
      <c r="E569" s="290" t="s">
        <v>297</v>
      </c>
      <c r="F569" s="290" t="s">
        <v>299</v>
      </c>
      <c r="G569" s="290" t="s">
        <v>282</v>
      </c>
      <c r="H569" s="290" t="s">
        <v>181</v>
      </c>
      <c r="I569" s="290" t="s">
        <v>182</v>
      </c>
      <c r="J569" s="290" t="s">
        <v>183</v>
      </c>
      <c r="K569" s="290" t="s">
        <v>183</v>
      </c>
      <c r="L569" s="293">
        <v>0</v>
      </c>
      <c r="M569" s="293">
        <v>31.09</v>
      </c>
      <c r="N569" s="293">
        <v>38.479999999999997</v>
      </c>
      <c r="O569" s="290" t="s">
        <v>184</v>
      </c>
      <c r="P569" s="293">
        <v>7</v>
      </c>
      <c r="Q569" s="294">
        <v>16144.49</v>
      </c>
      <c r="R569" s="294">
        <v>2072.8000000000002</v>
      </c>
      <c r="S569" s="294">
        <v>70.44</v>
      </c>
      <c r="T569" s="294">
        <v>0</v>
      </c>
      <c r="U569" s="294">
        <v>18287.73</v>
      </c>
    </row>
    <row r="570" spans="1:21" hidden="1" x14ac:dyDescent="0.25">
      <c r="A570" s="291">
        <v>126313</v>
      </c>
      <c r="B570" s="290" t="s">
        <v>177</v>
      </c>
      <c r="C570" s="292">
        <v>38463</v>
      </c>
      <c r="D570" s="292">
        <v>38463.333333333336</v>
      </c>
      <c r="E570" s="290" t="s">
        <v>190</v>
      </c>
      <c r="F570" s="290" t="s">
        <v>257</v>
      </c>
      <c r="G570" s="290" t="s">
        <v>278</v>
      </c>
      <c r="H570" s="290" t="s">
        <v>181</v>
      </c>
      <c r="I570" s="290" t="s">
        <v>182</v>
      </c>
      <c r="J570" s="290" t="s">
        <v>183</v>
      </c>
      <c r="K570" s="290" t="s">
        <v>183</v>
      </c>
      <c r="L570" s="293">
        <v>0</v>
      </c>
      <c r="M570" s="293">
        <v>0</v>
      </c>
      <c r="N570" s="293">
        <v>28.173999999999999</v>
      </c>
      <c r="O570" s="290" t="s">
        <v>184</v>
      </c>
      <c r="P570" s="293">
        <v>35.520000000000003</v>
      </c>
      <c r="Q570" s="294">
        <v>653.53</v>
      </c>
      <c r="R570" s="294">
        <v>59.9</v>
      </c>
      <c r="S570" s="294">
        <v>0</v>
      </c>
      <c r="T570" s="294">
        <v>0</v>
      </c>
      <c r="U570" s="294">
        <v>713.43</v>
      </c>
    </row>
    <row r="571" spans="1:21" hidden="1" x14ac:dyDescent="0.25">
      <c r="A571" s="291">
        <v>125462</v>
      </c>
      <c r="B571" s="290" t="s">
        <v>177</v>
      </c>
      <c r="C571" s="292">
        <v>38460</v>
      </c>
      <c r="D571" s="292">
        <v>38460.333333333336</v>
      </c>
      <c r="E571" s="290" t="s">
        <v>190</v>
      </c>
      <c r="F571" s="290" t="s">
        <v>257</v>
      </c>
      <c r="G571" s="290" t="s">
        <v>278</v>
      </c>
      <c r="H571" s="290" t="s">
        <v>181</v>
      </c>
      <c r="I571" s="290" t="s">
        <v>182</v>
      </c>
      <c r="J571" s="290" t="s">
        <v>183</v>
      </c>
      <c r="K571" s="290" t="s">
        <v>183</v>
      </c>
      <c r="L571" s="293">
        <v>0</v>
      </c>
      <c r="M571" s="293">
        <v>0</v>
      </c>
      <c r="N571" s="293">
        <v>28.173999999999999</v>
      </c>
      <c r="O571" s="290" t="s">
        <v>184</v>
      </c>
      <c r="P571" s="293">
        <v>48</v>
      </c>
      <c r="Q571" s="294">
        <v>653.53</v>
      </c>
      <c r="R571" s="294">
        <v>59.9</v>
      </c>
      <c r="S571" s="294">
        <v>0</v>
      </c>
      <c r="T571" s="294">
        <v>0</v>
      </c>
      <c r="U571" s="294">
        <v>713.43</v>
      </c>
    </row>
    <row r="572" spans="1:21" hidden="1" x14ac:dyDescent="0.25">
      <c r="A572" s="291">
        <v>116885</v>
      </c>
      <c r="B572" s="290" t="s">
        <v>177</v>
      </c>
      <c r="C572" s="292">
        <v>38425</v>
      </c>
      <c r="D572" s="292">
        <v>38436.333333333336</v>
      </c>
      <c r="E572" s="290" t="s">
        <v>300</v>
      </c>
      <c r="F572" s="290" t="s">
        <v>301</v>
      </c>
      <c r="G572" s="290" t="s">
        <v>278</v>
      </c>
      <c r="H572" s="290" t="s">
        <v>181</v>
      </c>
      <c r="I572" s="290" t="s">
        <v>182</v>
      </c>
      <c r="J572" s="290" t="s">
        <v>183</v>
      </c>
      <c r="K572" s="290" t="s">
        <v>183</v>
      </c>
      <c r="L572" s="293">
        <v>0</v>
      </c>
      <c r="M572" s="293">
        <v>0</v>
      </c>
      <c r="N572" s="293">
        <v>28.173999999999999</v>
      </c>
      <c r="O572" s="290" t="s">
        <v>184</v>
      </c>
      <c r="P572" s="293">
        <v>120.96</v>
      </c>
      <c r="Q572" s="294">
        <v>2310.34</v>
      </c>
      <c r="R572" s="294">
        <v>239.62</v>
      </c>
      <c r="S572" s="294">
        <v>0</v>
      </c>
      <c r="T572" s="294">
        <v>0</v>
      </c>
      <c r="U572" s="294">
        <v>2549.9499999999998</v>
      </c>
    </row>
    <row r="573" spans="1:21" hidden="1" x14ac:dyDescent="0.25">
      <c r="A573" s="291">
        <v>112777</v>
      </c>
      <c r="B573" s="290" t="s">
        <v>185</v>
      </c>
      <c r="C573" s="292">
        <v>38406</v>
      </c>
      <c r="D573" s="292">
        <v>38406.333333333336</v>
      </c>
      <c r="E573" s="290" t="s">
        <v>225</v>
      </c>
      <c r="F573" s="290" t="s">
        <v>270</v>
      </c>
      <c r="G573" s="290" t="s">
        <v>278</v>
      </c>
      <c r="H573" s="290" t="s">
        <v>197</v>
      </c>
      <c r="I573" s="290" t="s">
        <v>182</v>
      </c>
      <c r="J573" s="290" t="s">
        <v>183</v>
      </c>
      <c r="K573" s="290" t="s">
        <v>183</v>
      </c>
      <c r="L573" s="293">
        <v>0</v>
      </c>
      <c r="M573" s="293">
        <v>0</v>
      </c>
      <c r="N573" s="293">
        <v>28.173999999999999</v>
      </c>
      <c r="O573" s="290" t="s">
        <v>184</v>
      </c>
      <c r="P573" s="293">
        <v>0</v>
      </c>
      <c r="Q573" s="294">
        <v>0</v>
      </c>
      <c r="R573" s="294">
        <v>0</v>
      </c>
      <c r="S573" s="294">
        <v>0</v>
      </c>
      <c r="T573" s="294">
        <v>0</v>
      </c>
      <c r="U573" s="294">
        <v>0</v>
      </c>
    </row>
    <row r="574" spans="1:21" hidden="1" x14ac:dyDescent="0.25">
      <c r="A574" s="291">
        <v>103484</v>
      </c>
      <c r="B574" s="290" t="s">
        <v>177</v>
      </c>
      <c r="C574" s="292">
        <v>38370</v>
      </c>
      <c r="D574" s="292">
        <v>38371</v>
      </c>
      <c r="E574" s="290" t="s">
        <v>302</v>
      </c>
      <c r="F574" s="290" t="s">
        <v>303</v>
      </c>
      <c r="G574" s="290" t="s">
        <v>278</v>
      </c>
      <c r="H574" s="290" t="s">
        <v>181</v>
      </c>
      <c r="I574" s="290" t="s">
        <v>182</v>
      </c>
      <c r="J574" s="290" t="s">
        <v>183</v>
      </c>
      <c r="K574" s="290" t="s">
        <v>183</v>
      </c>
      <c r="L574" s="293">
        <v>0</v>
      </c>
      <c r="M574" s="293">
        <v>0</v>
      </c>
      <c r="N574" s="293">
        <v>28.173999999999999</v>
      </c>
      <c r="O574" s="290" t="s">
        <v>184</v>
      </c>
      <c r="P574" s="293">
        <v>31.2</v>
      </c>
      <c r="Q574" s="294">
        <v>653.53</v>
      </c>
      <c r="R574" s="294">
        <v>171.26</v>
      </c>
      <c r="S574" s="294">
        <v>140.85</v>
      </c>
      <c r="T574" s="294">
        <v>0</v>
      </c>
      <c r="U574" s="294">
        <v>965.64</v>
      </c>
    </row>
    <row r="575" spans="1:21" hidden="1" x14ac:dyDescent="0.25">
      <c r="A575" s="291">
        <v>96845</v>
      </c>
      <c r="B575" s="290" t="s">
        <v>177</v>
      </c>
      <c r="C575" s="292">
        <v>38334</v>
      </c>
      <c r="D575" s="292">
        <v>38394.333333333336</v>
      </c>
      <c r="E575" s="290" t="s">
        <v>302</v>
      </c>
      <c r="F575" s="290" t="s">
        <v>303</v>
      </c>
      <c r="G575" s="290" t="s">
        <v>278</v>
      </c>
      <c r="H575" s="290" t="s">
        <v>181</v>
      </c>
      <c r="I575" s="290" t="s">
        <v>182</v>
      </c>
      <c r="J575" s="290" t="s">
        <v>183</v>
      </c>
      <c r="K575" s="290" t="s">
        <v>183</v>
      </c>
      <c r="L575" s="293">
        <v>0</v>
      </c>
      <c r="M575" s="293">
        <v>0</v>
      </c>
      <c r="N575" s="293">
        <v>28.173999999999999</v>
      </c>
      <c r="O575" s="290" t="s">
        <v>184</v>
      </c>
      <c r="P575" s="293">
        <v>1357.44</v>
      </c>
      <c r="Q575" s="294">
        <v>28406.15</v>
      </c>
      <c r="R575" s="294">
        <v>8396.93</v>
      </c>
      <c r="S575" s="294">
        <v>16072.06</v>
      </c>
      <c r="T575" s="294">
        <v>0</v>
      </c>
      <c r="U575" s="294">
        <v>52875.14</v>
      </c>
    </row>
    <row r="576" spans="1:21" hidden="1" x14ac:dyDescent="0.25">
      <c r="A576" s="291">
        <v>95637</v>
      </c>
      <c r="B576" s="290" t="s">
        <v>185</v>
      </c>
      <c r="C576" s="292">
        <v>38329</v>
      </c>
      <c r="D576" s="292">
        <v>38329.25</v>
      </c>
      <c r="E576" s="290" t="s">
        <v>186</v>
      </c>
      <c r="F576" s="290" t="s">
        <v>270</v>
      </c>
      <c r="G576" s="290" t="s">
        <v>278</v>
      </c>
      <c r="H576" s="290" t="s">
        <v>181</v>
      </c>
      <c r="I576" s="290" t="s">
        <v>182</v>
      </c>
      <c r="J576" s="290" t="s">
        <v>183</v>
      </c>
      <c r="K576" s="290" t="s">
        <v>183</v>
      </c>
      <c r="L576" s="293">
        <v>0</v>
      </c>
      <c r="M576" s="293">
        <v>0</v>
      </c>
      <c r="N576" s="293">
        <v>28.173999999999999</v>
      </c>
      <c r="O576" s="290" t="s">
        <v>184</v>
      </c>
      <c r="P576" s="293">
        <v>43.68</v>
      </c>
      <c r="Q576" s="294">
        <v>198.26</v>
      </c>
      <c r="R576" s="294">
        <v>219.46</v>
      </c>
      <c r="S576" s="294">
        <v>0</v>
      </c>
      <c r="T576" s="294">
        <v>0</v>
      </c>
      <c r="U576" s="294">
        <v>417.72</v>
      </c>
    </row>
    <row r="577" spans="1:21" hidden="1" x14ac:dyDescent="0.25">
      <c r="A577" s="291">
        <v>93307</v>
      </c>
      <c r="B577" s="290" t="s">
        <v>177</v>
      </c>
      <c r="C577" s="292">
        <v>38323</v>
      </c>
      <c r="D577" s="292">
        <v>38323.333333333336</v>
      </c>
      <c r="E577" s="290" t="s">
        <v>190</v>
      </c>
      <c r="F577" s="290" t="s">
        <v>304</v>
      </c>
      <c r="G577" s="290" t="s">
        <v>278</v>
      </c>
      <c r="H577" s="290" t="s">
        <v>181</v>
      </c>
      <c r="I577" s="290" t="s">
        <v>182</v>
      </c>
      <c r="J577" s="290" t="s">
        <v>183</v>
      </c>
      <c r="K577" s="290" t="s">
        <v>183</v>
      </c>
      <c r="L577" s="293">
        <v>0</v>
      </c>
      <c r="M577" s="293">
        <v>0</v>
      </c>
      <c r="N577" s="293">
        <v>28.173999999999999</v>
      </c>
      <c r="O577" s="290" t="s">
        <v>184</v>
      </c>
      <c r="P577" s="293">
        <v>28.8</v>
      </c>
      <c r="Q577" s="294">
        <v>1386.97</v>
      </c>
      <c r="R577" s="294">
        <v>231.17</v>
      </c>
      <c r="S577" s="294">
        <v>0</v>
      </c>
      <c r="T577" s="294">
        <v>0</v>
      </c>
      <c r="U577" s="294">
        <v>1618.14</v>
      </c>
    </row>
    <row r="578" spans="1:21" hidden="1" x14ac:dyDescent="0.25">
      <c r="A578" s="291">
        <v>93084</v>
      </c>
      <c r="B578" s="290" t="s">
        <v>185</v>
      </c>
      <c r="C578" s="292">
        <v>38321</v>
      </c>
      <c r="D578" s="292">
        <v>38321.333333333336</v>
      </c>
      <c r="E578" s="290" t="s">
        <v>225</v>
      </c>
      <c r="F578" s="290" t="s">
        <v>270</v>
      </c>
      <c r="G578" s="290" t="s">
        <v>278</v>
      </c>
      <c r="H578" s="290" t="s">
        <v>197</v>
      </c>
      <c r="I578" s="290" t="s">
        <v>182</v>
      </c>
      <c r="J578" s="290" t="s">
        <v>183</v>
      </c>
      <c r="K578" s="290" t="s">
        <v>183</v>
      </c>
      <c r="L578" s="293">
        <v>0</v>
      </c>
      <c r="M578" s="293">
        <v>0</v>
      </c>
      <c r="N578" s="293">
        <v>28.173999999999999</v>
      </c>
      <c r="O578" s="290" t="s">
        <v>184</v>
      </c>
      <c r="P578" s="293">
        <v>43.68</v>
      </c>
      <c r="Q578" s="294">
        <v>0</v>
      </c>
      <c r="R578" s="294">
        <v>0</v>
      </c>
      <c r="S578" s="294">
        <v>0</v>
      </c>
      <c r="T578" s="294">
        <v>0</v>
      </c>
      <c r="U578" s="294">
        <v>0</v>
      </c>
    </row>
    <row r="579" spans="1:21" hidden="1" x14ac:dyDescent="0.25">
      <c r="A579" s="291">
        <v>92014</v>
      </c>
      <c r="B579" s="290" t="s">
        <v>185</v>
      </c>
      <c r="C579" s="292">
        <v>38313</v>
      </c>
      <c r="D579" s="292">
        <v>38313.166666666664</v>
      </c>
      <c r="E579" s="290" t="s">
        <v>186</v>
      </c>
      <c r="F579" s="290" t="s">
        <v>270</v>
      </c>
      <c r="G579" s="290" t="s">
        <v>278</v>
      </c>
      <c r="H579" s="290" t="s">
        <v>181</v>
      </c>
      <c r="I579" s="290" t="s">
        <v>182</v>
      </c>
      <c r="J579" s="290" t="s">
        <v>183</v>
      </c>
      <c r="K579" s="290" t="s">
        <v>183</v>
      </c>
      <c r="L579" s="293">
        <v>0</v>
      </c>
      <c r="M579" s="293">
        <v>0</v>
      </c>
      <c r="N579" s="293">
        <v>28.173999999999999</v>
      </c>
      <c r="O579" s="290" t="s">
        <v>184</v>
      </c>
      <c r="P579" s="293">
        <v>41.28</v>
      </c>
      <c r="Q579" s="294">
        <v>0</v>
      </c>
      <c r="R579" s="294">
        <v>0</v>
      </c>
      <c r="S579" s="294">
        <v>0</v>
      </c>
      <c r="T579" s="294">
        <v>0</v>
      </c>
      <c r="U579" s="294">
        <v>0</v>
      </c>
    </row>
    <row r="580" spans="1:21" hidden="1" x14ac:dyDescent="0.25">
      <c r="A580" s="291">
        <v>86638</v>
      </c>
      <c r="B580" s="290" t="s">
        <v>177</v>
      </c>
      <c r="C580" s="292">
        <v>38292</v>
      </c>
      <c r="D580" s="292">
        <v>38292.333333333336</v>
      </c>
      <c r="E580" s="290" t="s">
        <v>190</v>
      </c>
      <c r="F580" s="290" t="s">
        <v>305</v>
      </c>
      <c r="G580" s="290" t="s">
        <v>278</v>
      </c>
      <c r="H580" s="290" t="s">
        <v>181</v>
      </c>
      <c r="I580" s="290" t="s">
        <v>182</v>
      </c>
      <c r="J580" s="290" t="s">
        <v>183</v>
      </c>
      <c r="K580" s="290" t="s">
        <v>183</v>
      </c>
      <c r="L580" s="293">
        <v>0</v>
      </c>
      <c r="M580" s="293">
        <v>0</v>
      </c>
      <c r="N580" s="293">
        <v>28.173999999999999</v>
      </c>
      <c r="O580" s="290" t="s">
        <v>184</v>
      </c>
      <c r="P580" s="293">
        <v>38.4</v>
      </c>
      <c r="Q580" s="294">
        <v>787.66</v>
      </c>
      <c r="R580" s="294">
        <v>407.42</v>
      </c>
      <c r="S580" s="294">
        <v>0</v>
      </c>
      <c r="T580" s="294">
        <v>0</v>
      </c>
      <c r="U580" s="294">
        <v>1195.08</v>
      </c>
    </row>
    <row r="581" spans="1:21" hidden="1" x14ac:dyDescent="0.25">
      <c r="A581" s="291">
        <v>84533</v>
      </c>
      <c r="B581" s="290" t="s">
        <v>185</v>
      </c>
      <c r="C581" s="292">
        <v>38278.166666666664</v>
      </c>
      <c r="D581" s="292">
        <v>38278.333333333336</v>
      </c>
      <c r="E581" s="290" t="s">
        <v>225</v>
      </c>
      <c r="F581" s="290" t="s">
        <v>270</v>
      </c>
      <c r="G581" s="290" t="s">
        <v>278</v>
      </c>
      <c r="H581" s="290" t="s">
        <v>197</v>
      </c>
      <c r="I581" s="290" t="s">
        <v>182</v>
      </c>
      <c r="J581" s="290" t="s">
        <v>183</v>
      </c>
      <c r="K581" s="290" t="s">
        <v>183</v>
      </c>
      <c r="L581" s="293">
        <v>0</v>
      </c>
      <c r="M581" s="293">
        <v>0</v>
      </c>
      <c r="N581" s="293">
        <v>28.173999999999999</v>
      </c>
      <c r="O581" s="290" t="s">
        <v>184</v>
      </c>
      <c r="P581" s="293">
        <v>22.56</v>
      </c>
      <c r="Q581" s="294">
        <v>132.16999999999999</v>
      </c>
      <c r="R581" s="294">
        <v>45.7</v>
      </c>
      <c r="S581" s="294">
        <v>0</v>
      </c>
      <c r="T581" s="294">
        <v>0</v>
      </c>
      <c r="U581" s="294">
        <v>177.87</v>
      </c>
    </row>
    <row r="582" spans="1:21" hidden="1" x14ac:dyDescent="0.25">
      <c r="A582" s="291">
        <v>82636</v>
      </c>
      <c r="B582" s="290" t="s">
        <v>185</v>
      </c>
      <c r="C582" s="292">
        <v>38274</v>
      </c>
      <c r="D582" s="292">
        <v>38274.333333333336</v>
      </c>
      <c r="E582" s="290" t="s">
        <v>186</v>
      </c>
      <c r="F582" s="290" t="s">
        <v>270</v>
      </c>
      <c r="G582" s="290" t="s">
        <v>282</v>
      </c>
      <c r="H582" s="290" t="s">
        <v>181</v>
      </c>
      <c r="I582" s="290" t="s">
        <v>182</v>
      </c>
      <c r="J582" s="290" t="s">
        <v>183</v>
      </c>
      <c r="K582" s="290" t="s">
        <v>183</v>
      </c>
      <c r="L582" s="293">
        <v>0</v>
      </c>
      <c r="M582" s="293">
        <v>31.09</v>
      </c>
      <c r="N582" s="293">
        <v>38.479999999999997</v>
      </c>
      <c r="O582" s="290" t="s">
        <v>184</v>
      </c>
      <c r="P582" s="293">
        <v>18</v>
      </c>
      <c r="Q582" s="294">
        <v>275.36</v>
      </c>
      <c r="R582" s="294">
        <v>95.2</v>
      </c>
      <c r="S582" s="294">
        <v>0</v>
      </c>
      <c r="T582" s="294">
        <v>0</v>
      </c>
      <c r="U582" s="294">
        <v>370.56</v>
      </c>
    </row>
    <row r="583" spans="1:21" hidden="1" x14ac:dyDescent="0.25">
      <c r="A583" s="291">
        <v>72948</v>
      </c>
      <c r="B583" s="290" t="s">
        <v>177</v>
      </c>
      <c r="C583" s="292">
        <v>38244</v>
      </c>
      <c r="D583" s="292">
        <v>38289.333333333336</v>
      </c>
      <c r="E583" s="290" t="s">
        <v>306</v>
      </c>
      <c r="F583" s="290" t="s">
        <v>307</v>
      </c>
      <c r="G583" s="290" t="s">
        <v>282</v>
      </c>
      <c r="H583" s="290" t="s">
        <v>181</v>
      </c>
      <c r="I583" s="290" t="s">
        <v>182</v>
      </c>
      <c r="J583" s="290" t="s">
        <v>183</v>
      </c>
      <c r="K583" s="290" t="s">
        <v>183</v>
      </c>
      <c r="L583" s="293">
        <v>0</v>
      </c>
      <c r="M583" s="293">
        <v>31.09</v>
      </c>
      <c r="N583" s="293">
        <v>38.479999999999997</v>
      </c>
      <c r="O583" s="290" t="s">
        <v>184</v>
      </c>
      <c r="P583" s="293">
        <v>1500</v>
      </c>
      <c r="Q583" s="294">
        <v>0</v>
      </c>
      <c r="R583" s="294">
        <v>0</v>
      </c>
      <c r="S583" s="294">
        <v>0</v>
      </c>
      <c r="T583" s="294">
        <v>0</v>
      </c>
      <c r="U583" s="294">
        <v>0</v>
      </c>
    </row>
    <row r="584" spans="1:21" hidden="1" x14ac:dyDescent="0.25">
      <c r="A584" s="291">
        <v>66491</v>
      </c>
      <c r="B584" s="290" t="s">
        <v>177</v>
      </c>
      <c r="C584" s="292">
        <v>38221</v>
      </c>
      <c r="D584" s="292">
        <v>38223.333333333336</v>
      </c>
      <c r="E584" s="290" t="s">
        <v>190</v>
      </c>
      <c r="F584" s="290" t="s">
        <v>265</v>
      </c>
      <c r="G584" s="290" t="s">
        <v>308</v>
      </c>
      <c r="H584" s="290" t="s">
        <v>181</v>
      </c>
      <c r="I584" s="290" t="s">
        <v>194</v>
      </c>
      <c r="J584" s="290" t="s">
        <v>183</v>
      </c>
      <c r="K584" s="290" t="s">
        <v>183</v>
      </c>
      <c r="L584" s="293">
        <v>0</v>
      </c>
      <c r="M584" s="293">
        <v>0</v>
      </c>
      <c r="N584" s="293">
        <v>2.5</v>
      </c>
      <c r="O584" s="290" t="s">
        <v>184</v>
      </c>
      <c r="P584" s="293">
        <v>2</v>
      </c>
      <c r="Q584" s="294">
        <v>1759.28</v>
      </c>
      <c r="R584" s="294">
        <v>155.19999999999999</v>
      </c>
      <c r="S584" s="294">
        <v>0</v>
      </c>
      <c r="T584" s="294">
        <v>0</v>
      </c>
      <c r="U584" s="294">
        <v>1914.48</v>
      </c>
    </row>
    <row r="585" spans="1:21" hidden="1" x14ac:dyDescent="0.25">
      <c r="A585" s="291">
        <v>37472</v>
      </c>
      <c r="B585" s="290" t="s">
        <v>212</v>
      </c>
      <c r="C585" s="292">
        <v>38124</v>
      </c>
      <c r="D585" s="292">
        <v>38124.333333333336</v>
      </c>
      <c r="E585" s="290" t="s">
        <v>287</v>
      </c>
      <c r="F585" s="290" t="s">
        <v>268</v>
      </c>
      <c r="G585" s="290" t="s">
        <v>278</v>
      </c>
      <c r="H585" s="290" t="s">
        <v>286</v>
      </c>
      <c r="I585" s="290" t="s">
        <v>182</v>
      </c>
      <c r="J585" s="290" t="s">
        <v>183</v>
      </c>
      <c r="K585" s="290" t="s">
        <v>183</v>
      </c>
      <c r="L585" s="293">
        <v>0</v>
      </c>
      <c r="M585" s="293">
        <v>0</v>
      </c>
      <c r="N585" s="293">
        <v>28.173999999999999</v>
      </c>
      <c r="O585" s="290" t="s">
        <v>184</v>
      </c>
      <c r="P585" s="293">
        <v>0.96</v>
      </c>
      <c r="Q585" s="294">
        <v>370.94</v>
      </c>
      <c r="R585" s="294">
        <v>104.45</v>
      </c>
      <c r="S585" s="294">
        <v>0</v>
      </c>
      <c r="T585" s="294">
        <v>0</v>
      </c>
      <c r="U585" s="294">
        <v>475.39</v>
      </c>
    </row>
    <row r="586" spans="1:21" hidden="1" x14ac:dyDescent="0.25">
      <c r="A586" s="291">
        <v>37439</v>
      </c>
      <c r="B586" s="290" t="s">
        <v>212</v>
      </c>
      <c r="C586" s="292">
        <v>38124</v>
      </c>
      <c r="D586" s="292">
        <v>38126.333333333336</v>
      </c>
      <c r="E586" s="290" t="s">
        <v>240</v>
      </c>
      <c r="F586" s="290" t="s">
        <v>309</v>
      </c>
      <c r="G586" s="290" t="s">
        <v>278</v>
      </c>
      <c r="H586" s="290" t="s">
        <v>181</v>
      </c>
      <c r="I586" s="290" t="s">
        <v>182</v>
      </c>
      <c r="J586" s="290" t="s">
        <v>183</v>
      </c>
      <c r="K586" s="290" t="s">
        <v>183</v>
      </c>
      <c r="L586" s="293">
        <v>0</v>
      </c>
      <c r="M586" s="293">
        <v>0</v>
      </c>
      <c r="N586" s="293">
        <v>28.173999999999999</v>
      </c>
      <c r="O586" s="290" t="s">
        <v>184</v>
      </c>
      <c r="P586" s="293">
        <v>36.479999999999997</v>
      </c>
      <c r="Q586" s="294">
        <v>1112.83</v>
      </c>
      <c r="R586" s="294">
        <v>1073.6600000000001</v>
      </c>
      <c r="S586" s="294">
        <v>0</v>
      </c>
      <c r="T586" s="294">
        <v>0</v>
      </c>
      <c r="U586" s="294">
        <v>2186.5</v>
      </c>
    </row>
    <row r="587" spans="1:21" hidden="1" x14ac:dyDescent="0.25">
      <c r="A587" s="291">
        <v>35505</v>
      </c>
      <c r="B587" s="290" t="s">
        <v>177</v>
      </c>
      <c r="C587" s="292">
        <v>38118</v>
      </c>
      <c r="D587" s="292">
        <v>38118.333333333336</v>
      </c>
      <c r="E587" s="290" t="s">
        <v>190</v>
      </c>
      <c r="F587" s="290" t="s">
        <v>310</v>
      </c>
      <c r="G587" s="290" t="s">
        <v>278</v>
      </c>
      <c r="H587" s="290" t="s">
        <v>181</v>
      </c>
      <c r="I587" s="290" t="s">
        <v>182</v>
      </c>
      <c r="J587" s="290" t="s">
        <v>183</v>
      </c>
      <c r="K587" s="290" t="s">
        <v>183</v>
      </c>
      <c r="L587" s="293">
        <v>0</v>
      </c>
      <c r="M587" s="293">
        <v>0</v>
      </c>
      <c r="N587" s="293">
        <v>28.173999999999999</v>
      </c>
      <c r="O587" s="290" t="s">
        <v>184</v>
      </c>
      <c r="P587" s="293">
        <v>7.68</v>
      </c>
      <c r="Q587" s="294">
        <v>0</v>
      </c>
      <c r="R587" s="294">
        <v>0</v>
      </c>
      <c r="S587" s="294">
        <v>0</v>
      </c>
      <c r="T587" s="294">
        <v>0</v>
      </c>
      <c r="U587" s="294">
        <v>0</v>
      </c>
    </row>
    <row r="588" spans="1:21" hidden="1" x14ac:dyDescent="0.25">
      <c r="A588" s="291">
        <v>35496</v>
      </c>
      <c r="B588" s="290" t="s">
        <v>177</v>
      </c>
      <c r="C588" s="292">
        <v>38118</v>
      </c>
      <c r="D588" s="292">
        <v>38118.333333333336</v>
      </c>
      <c r="E588" s="290" t="s">
        <v>311</v>
      </c>
      <c r="F588" s="290" t="s">
        <v>312</v>
      </c>
      <c r="G588" s="290" t="s">
        <v>282</v>
      </c>
      <c r="H588" s="290" t="s">
        <v>181</v>
      </c>
      <c r="I588" s="290" t="s">
        <v>182</v>
      </c>
      <c r="J588" s="290" t="s">
        <v>183</v>
      </c>
      <c r="K588" s="290" t="s">
        <v>183</v>
      </c>
      <c r="L588" s="293">
        <v>0</v>
      </c>
      <c r="M588" s="293">
        <v>31.09</v>
      </c>
      <c r="N588" s="293">
        <v>38.479999999999997</v>
      </c>
      <c r="O588" s="290" t="s">
        <v>184</v>
      </c>
      <c r="P588" s="293">
        <v>10</v>
      </c>
      <c r="Q588" s="294">
        <v>0</v>
      </c>
      <c r="R588" s="294">
        <v>0</v>
      </c>
      <c r="S588" s="294">
        <v>0</v>
      </c>
      <c r="T588" s="294">
        <v>0</v>
      </c>
      <c r="U588" s="294">
        <v>0</v>
      </c>
    </row>
    <row r="589" spans="1:21" hidden="1" x14ac:dyDescent="0.25">
      <c r="A589" s="291">
        <v>35493</v>
      </c>
      <c r="B589" s="290" t="s">
        <v>177</v>
      </c>
      <c r="C589" s="292">
        <v>38118</v>
      </c>
      <c r="D589" s="292">
        <v>38118.333333333336</v>
      </c>
      <c r="E589" s="290" t="s">
        <v>190</v>
      </c>
      <c r="F589" s="290" t="s">
        <v>313</v>
      </c>
      <c r="G589" s="290" t="s">
        <v>278</v>
      </c>
      <c r="H589" s="290" t="s">
        <v>181</v>
      </c>
      <c r="I589" s="290" t="s">
        <v>182</v>
      </c>
      <c r="J589" s="290" t="s">
        <v>183</v>
      </c>
      <c r="K589" s="290" t="s">
        <v>183</v>
      </c>
      <c r="L589" s="293">
        <v>0</v>
      </c>
      <c r="M589" s="293">
        <v>0</v>
      </c>
      <c r="N589" s="293">
        <v>28.173999999999999</v>
      </c>
      <c r="O589" s="290" t="s">
        <v>184</v>
      </c>
      <c r="P589" s="293">
        <v>15.36</v>
      </c>
      <c r="Q589" s="294">
        <v>0</v>
      </c>
      <c r="R589" s="294">
        <v>0</v>
      </c>
      <c r="S589" s="294">
        <v>0</v>
      </c>
      <c r="T589" s="294">
        <v>0</v>
      </c>
      <c r="U589" s="294">
        <v>0</v>
      </c>
    </row>
    <row r="590" spans="1:21" hidden="1" x14ac:dyDescent="0.25">
      <c r="A590" s="291">
        <v>22909</v>
      </c>
      <c r="B590" s="290" t="s">
        <v>177</v>
      </c>
      <c r="C590" s="292">
        <v>38042</v>
      </c>
      <c r="D590" s="292">
        <v>38042.333333333336</v>
      </c>
      <c r="E590" s="290" t="s">
        <v>190</v>
      </c>
      <c r="F590" s="290" t="s">
        <v>267</v>
      </c>
      <c r="G590" s="290" t="s">
        <v>278</v>
      </c>
      <c r="H590" s="290" t="s">
        <v>181</v>
      </c>
      <c r="I590" s="290" t="s">
        <v>182</v>
      </c>
      <c r="J590" s="290" t="s">
        <v>183</v>
      </c>
      <c r="K590" s="290" t="s">
        <v>183</v>
      </c>
      <c r="L590" s="293">
        <v>0</v>
      </c>
      <c r="M590" s="293">
        <v>0</v>
      </c>
      <c r="N590" s="293">
        <v>28.173999999999999</v>
      </c>
      <c r="O590" s="290" t="s">
        <v>184</v>
      </c>
      <c r="P590" s="293">
        <v>0</v>
      </c>
      <c r="Q590" s="294">
        <v>0</v>
      </c>
      <c r="R590" s="294">
        <v>0</v>
      </c>
      <c r="S590" s="294">
        <v>0</v>
      </c>
      <c r="T590" s="294">
        <v>0</v>
      </c>
      <c r="U590" s="294">
        <v>0</v>
      </c>
    </row>
    <row r="591" spans="1:21" hidden="1" x14ac:dyDescent="0.25">
      <c r="A591" s="291">
        <v>22893</v>
      </c>
      <c r="B591" s="290" t="s">
        <v>177</v>
      </c>
      <c r="C591" s="292">
        <v>38042</v>
      </c>
      <c r="D591" s="292">
        <v>38042.333333333336</v>
      </c>
      <c r="E591" s="290" t="s">
        <v>190</v>
      </c>
      <c r="F591" s="290" t="s">
        <v>255</v>
      </c>
      <c r="G591" s="290" t="s">
        <v>278</v>
      </c>
      <c r="H591" s="290" t="s">
        <v>181</v>
      </c>
      <c r="I591" s="290" t="s">
        <v>182</v>
      </c>
      <c r="J591" s="290" t="s">
        <v>183</v>
      </c>
      <c r="K591" s="290" t="s">
        <v>183</v>
      </c>
      <c r="L591" s="293">
        <v>0</v>
      </c>
      <c r="M591" s="293">
        <v>0</v>
      </c>
      <c r="N591" s="293">
        <v>28.173999999999999</v>
      </c>
      <c r="O591" s="290" t="s">
        <v>184</v>
      </c>
      <c r="P591" s="293">
        <v>0</v>
      </c>
      <c r="Q591" s="294">
        <v>0</v>
      </c>
      <c r="R591" s="294">
        <v>0</v>
      </c>
      <c r="S591" s="294">
        <v>0</v>
      </c>
      <c r="T591" s="294">
        <v>0</v>
      </c>
      <c r="U591" s="294">
        <v>0</v>
      </c>
    </row>
    <row r="592" spans="1:21" hidden="1" x14ac:dyDescent="0.25">
      <c r="A592" s="291">
        <v>22801</v>
      </c>
      <c r="B592" s="290" t="s">
        <v>177</v>
      </c>
      <c r="C592" s="292">
        <v>38041</v>
      </c>
      <c r="D592" s="292">
        <v>38041.333333333336</v>
      </c>
      <c r="E592" s="290" t="s">
        <v>314</v>
      </c>
      <c r="F592" s="290" t="s">
        <v>315</v>
      </c>
      <c r="G592" s="290" t="s">
        <v>283</v>
      </c>
      <c r="H592" s="290" t="s">
        <v>237</v>
      </c>
      <c r="I592" s="290" t="s">
        <v>182</v>
      </c>
      <c r="J592" s="290" t="s">
        <v>183</v>
      </c>
      <c r="K592" s="290" t="s">
        <v>183</v>
      </c>
      <c r="L592" s="293">
        <v>0</v>
      </c>
      <c r="M592" s="293">
        <v>30.95</v>
      </c>
      <c r="N592" s="293">
        <v>31.09</v>
      </c>
      <c r="O592" s="290" t="s">
        <v>184</v>
      </c>
      <c r="P592" s="293">
        <v>0</v>
      </c>
      <c r="Q592" s="294">
        <v>0</v>
      </c>
      <c r="R592" s="294">
        <v>0</v>
      </c>
      <c r="S592" s="294">
        <v>0</v>
      </c>
      <c r="T592" s="294">
        <v>0</v>
      </c>
      <c r="U592" s="294">
        <v>0</v>
      </c>
    </row>
    <row r="593" spans="1:22" hidden="1" x14ac:dyDescent="0.25">
      <c r="A593" s="291">
        <v>22798</v>
      </c>
      <c r="B593" s="290" t="s">
        <v>177</v>
      </c>
      <c r="C593" s="292">
        <v>38041</v>
      </c>
      <c r="D593" s="292">
        <v>38041.333333333336</v>
      </c>
      <c r="E593" s="290" t="s">
        <v>314</v>
      </c>
      <c r="F593" s="290" t="s">
        <v>316</v>
      </c>
      <c r="G593" s="290" t="s">
        <v>278</v>
      </c>
      <c r="H593" s="290" t="s">
        <v>237</v>
      </c>
      <c r="I593" s="290" t="s">
        <v>182</v>
      </c>
      <c r="J593" s="290" t="s">
        <v>183</v>
      </c>
      <c r="K593" s="290" t="s">
        <v>183</v>
      </c>
      <c r="L593" s="293">
        <v>0</v>
      </c>
      <c r="M593" s="293">
        <v>0</v>
      </c>
      <c r="N593" s="293">
        <v>28.173999999999999</v>
      </c>
      <c r="O593" s="290" t="s">
        <v>184</v>
      </c>
      <c r="P593" s="293">
        <v>0</v>
      </c>
      <c r="Q593" s="294">
        <v>0</v>
      </c>
      <c r="R593" s="294">
        <v>0</v>
      </c>
      <c r="S593" s="294">
        <v>0</v>
      </c>
      <c r="T593" s="294">
        <v>0</v>
      </c>
      <c r="U593" s="294">
        <v>0</v>
      </c>
    </row>
    <row r="594" spans="1:22" hidden="1" x14ac:dyDescent="0.25">
      <c r="A594" s="291">
        <v>22762</v>
      </c>
      <c r="B594" s="290" t="s">
        <v>177</v>
      </c>
      <c r="C594" s="292">
        <v>38041</v>
      </c>
      <c r="D594" s="292">
        <v>38041.333333333336</v>
      </c>
      <c r="E594" s="290" t="s">
        <v>314</v>
      </c>
      <c r="F594" s="290" t="s">
        <v>261</v>
      </c>
      <c r="G594" s="290" t="s">
        <v>278</v>
      </c>
      <c r="H594" s="290" t="s">
        <v>237</v>
      </c>
      <c r="I594" s="290" t="s">
        <v>182</v>
      </c>
      <c r="J594" s="290" t="s">
        <v>183</v>
      </c>
      <c r="K594" s="290" t="s">
        <v>183</v>
      </c>
      <c r="L594" s="293">
        <v>0</v>
      </c>
      <c r="M594" s="293">
        <v>0</v>
      </c>
      <c r="N594" s="293">
        <v>28.173999999999999</v>
      </c>
      <c r="O594" s="290" t="s">
        <v>184</v>
      </c>
      <c r="P594" s="293">
        <v>0</v>
      </c>
      <c r="Q594" s="294">
        <v>0</v>
      </c>
      <c r="R594" s="294">
        <v>0</v>
      </c>
      <c r="S594" s="294">
        <v>0</v>
      </c>
      <c r="T594" s="294">
        <v>0</v>
      </c>
      <c r="U594" s="294">
        <v>0</v>
      </c>
    </row>
    <row r="595" spans="1:22" x14ac:dyDescent="0.25">
      <c r="P595" s="307"/>
      <c r="U595" s="295">
        <f>SUBTOTAL(9,U3:U67)</f>
        <v>130217.08999999998</v>
      </c>
      <c r="V595" s="306" t="s">
        <v>317</v>
      </c>
    </row>
    <row r="596" spans="1:22" x14ac:dyDescent="0.25">
      <c r="Q596" s="290" t="s">
        <v>318</v>
      </c>
      <c r="R596" s="290" t="s">
        <v>319</v>
      </c>
      <c r="S596" s="290" t="s">
        <v>320</v>
      </c>
    </row>
    <row r="597" spans="1:22" x14ac:dyDescent="0.25">
      <c r="P597" s="291">
        <v>2018</v>
      </c>
      <c r="Q597" s="296">
        <f>P67+P61+P56</f>
        <v>25.3</v>
      </c>
      <c r="R597" s="290">
        <v>3</v>
      </c>
      <c r="S597" s="297">
        <f t="shared" ref="S597:S598" si="0">Q597/R597</f>
        <v>8.4333333333333336</v>
      </c>
    </row>
    <row r="598" spans="1:22" x14ac:dyDescent="0.25">
      <c r="B598" s="306" t="s">
        <v>321</v>
      </c>
      <c r="P598" s="296">
        <f>P597+1</f>
        <v>2019</v>
      </c>
      <c r="Q598" s="296">
        <f>P54+P50</f>
        <v>13.7</v>
      </c>
      <c r="R598" s="290">
        <v>2</v>
      </c>
      <c r="S598" s="297">
        <f t="shared" si="0"/>
        <v>6.85</v>
      </c>
    </row>
    <row r="599" spans="1:22" x14ac:dyDescent="0.25">
      <c r="P599" s="296">
        <f>P598+1</f>
        <v>2020</v>
      </c>
      <c r="Q599" s="296">
        <f>P48+P45</f>
        <v>12</v>
      </c>
      <c r="R599" s="290">
        <v>3</v>
      </c>
      <c r="S599" s="297">
        <f>Q599/R599</f>
        <v>4</v>
      </c>
    </row>
    <row r="600" spans="1:22" x14ac:dyDescent="0.25">
      <c r="P600" s="296">
        <f>P599+1</f>
        <v>2021</v>
      </c>
      <c r="Q600" s="296">
        <f>P44+P41+P40+P39+P37+P35+P34</f>
        <v>743.5</v>
      </c>
      <c r="R600" s="290">
        <v>7</v>
      </c>
      <c r="S600" s="297">
        <f t="shared" ref="S600:S601" si="1">Q600/R600</f>
        <v>106.21428571428571</v>
      </c>
    </row>
    <row r="601" spans="1:22" x14ac:dyDescent="0.25">
      <c r="P601" s="296">
        <f>P600+1</f>
        <v>2022</v>
      </c>
      <c r="Q601" s="296">
        <f>P32+P26+P24+P23+P20+P19+P18+P16+P15+P13+P12+P11+P10+P9+P8+P5+P4</f>
        <v>265.89999999999998</v>
      </c>
      <c r="R601" s="290">
        <v>17</v>
      </c>
      <c r="S601" s="297">
        <f t="shared" si="1"/>
        <v>15.641176470588235</v>
      </c>
    </row>
    <row r="602" spans="1:22" x14ac:dyDescent="0.25">
      <c r="Q602" s="296">
        <f>AVERAGE(Q599:Q601)</f>
        <v>340.46666666666664</v>
      </c>
      <c r="R602" s="296">
        <f>AVERAGE(R599:R601)</f>
        <v>9</v>
      </c>
      <c r="S602" s="296">
        <f>AVERAGE(S599:S601)</f>
        <v>41.951820728291317</v>
      </c>
    </row>
    <row r="604" spans="1:22" x14ac:dyDescent="0.25">
      <c r="R604" s="308" t="s">
        <v>322</v>
      </c>
      <c r="S604" s="307">
        <f>AVERAGE(P67,P61,P56,P54,P50,P48,P45,P40,P39,P37,P32,P24,P20,P18,P16,P15,P13,P12,P11,P10,P9,P8,P4,P3)</f>
        <v>6.8916666666666666</v>
      </c>
    </row>
    <row r="605" spans="1:22" x14ac:dyDescent="0.25">
      <c r="P605" s="307"/>
      <c r="R605" s="308" t="s">
        <v>323</v>
      </c>
      <c r="S605" s="392">
        <f>S604/2</f>
        <v>3.4458333333333333</v>
      </c>
    </row>
  </sheetData>
  <sheetProtection algorithmName="SHA-512" hashValue="6THX8PfhM+acYSg62uZ0omvYIiq98CEAOBzmjXgI3ZffMj3KZ2DZXKtnvFp8Akgm42jUkmHeCDua7WhoQRxNJA==" saltValue="zPbBD4onSAs4S/T9pq8SeA==" spinCount="100000" sheet="1" objects="1" scenarios="1"/>
  <autoFilter ref="M1:M594" xr:uid="{62CCBEC5-2DDC-46E3-91AE-AA84FEED2AAA}">
    <filterColumn colId="0">
      <filters>
        <filter val="29.63"/>
        <filter val="29.64"/>
        <filter val="30.95"/>
        <filter val="31.00"/>
        <filter val="31.09"/>
        <filter val="31.27"/>
        <filter val="31.50"/>
        <filter val="32.50"/>
        <filter val="33.97"/>
        <filter val="36.38"/>
        <filter val="36.96"/>
        <filter val="37.06"/>
        <filter val="38.16"/>
        <filter val="38.48"/>
      </filters>
    </filterColumn>
  </autoFilter>
  <pageMargins left="0.75" right="0.75" top="1" bottom="1" header="0.5" footer="0.5"/>
  <pageSetup orientation="portrait" horizontalDpi="300"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E0F20-98C3-4ED4-A250-0FB00DBE5F64}">
  <sheetPr>
    <tabColor rgb="FFCDE0FF"/>
  </sheetPr>
  <dimension ref="B1:J35"/>
  <sheetViews>
    <sheetView workbookViewId="0">
      <selection activeCell="E12" sqref="E12"/>
    </sheetView>
  </sheetViews>
  <sheetFormatPr defaultRowHeight="14.5" x14ac:dyDescent="0.35"/>
  <cols>
    <col min="2" max="2" width="23.26953125" bestFit="1" customWidth="1"/>
    <col min="3" max="3" width="20.26953125" bestFit="1" customWidth="1"/>
    <col min="4" max="4" width="23.26953125" bestFit="1" customWidth="1"/>
    <col min="5" max="5" width="16" bestFit="1" customWidth="1"/>
    <col min="7" max="7" width="21.7265625" customWidth="1"/>
    <col min="9" max="9" width="12.453125" customWidth="1"/>
    <col min="10" max="10" width="13.453125" customWidth="1"/>
  </cols>
  <sheetData>
    <row r="1" spans="2:5" x14ac:dyDescent="0.35">
      <c r="B1" t="s">
        <v>324</v>
      </c>
    </row>
    <row r="2" spans="2:5" x14ac:dyDescent="0.35">
      <c r="B2" t="s">
        <v>325</v>
      </c>
    </row>
    <row r="4" spans="2:5" x14ac:dyDescent="0.35">
      <c r="B4" t="s">
        <v>326</v>
      </c>
      <c r="C4" t="s">
        <v>327</v>
      </c>
      <c r="D4" t="s">
        <v>328</v>
      </c>
      <c r="E4" t="s">
        <v>329</v>
      </c>
    </row>
    <row r="5" spans="2:5" x14ac:dyDescent="0.35">
      <c r="B5">
        <v>2018</v>
      </c>
      <c r="E5" s="117"/>
    </row>
    <row r="6" spans="2:5" x14ac:dyDescent="0.35">
      <c r="B6" t="s">
        <v>330</v>
      </c>
      <c r="C6" s="178">
        <v>60.666666666744277</v>
      </c>
      <c r="D6">
        <v>11</v>
      </c>
      <c r="E6" s="117">
        <f>C6/D6</f>
        <v>5.5151515151585704</v>
      </c>
    </row>
    <row r="7" spans="2:5" x14ac:dyDescent="0.35">
      <c r="B7" t="s">
        <v>331</v>
      </c>
      <c r="C7" s="178">
        <v>289.93333333334886</v>
      </c>
      <c r="D7">
        <v>4</v>
      </c>
      <c r="E7" s="117">
        <f t="shared" ref="E7:E23" si="0">C7/D7</f>
        <v>72.483333333337214</v>
      </c>
    </row>
    <row r="8" spans="2:5" x14ac:dyDescent="0.35">
      <c r="B8">
        <v>2019</v>
      </c>
      <c r="C8" s="178"/>
      <c r="E8" s="117"/>
    </row>
    <row r="9" spans="2:5" x14ac:dyDescent="0.35">
      <c r="B9" t="s">
        <v>330</v>
      </c>
      <c r="C9" s="178">
        <v>50.25</v>
      </c>
      <c r="D9">
        <v>16</v>
      </c>
      <c r="E9" s="117">
        <f t="shared" si="0"/>
        <v>3.140625</v>
      </c>
    </row>
    <row r="10" spans="2:5" x14ac:dyDescent="0.35">
      <c r="B10" t="s">
        <v>332</v>
      </c>
      <c r="C10" s="178">
        <v>92.833333333488554</v>
      </c>
      <c r="D10">
        <v>5</v>
      </c>
      <c r="E10" s="117">
        <f t="shared" si="0"/>
        <v>18.56666666669771</v>
      </c>
    </row>
    <row r="11" spans="2:5" x14ac:dyDescent="0.35">
      <c r="B11">
        <v>2020</v>
      </c>
      <c r="C11" s="178"/>
      <c r="E11" s="117"/>
    </row>
    <row r="12" spans="2:5" x14ac:dyDescent="0.35">
      <c r="B12" t="s">
        <v>330</v>
      </c>
      <c r="C12" s="178">
        <v>341.06666666624369</v>
      </c>
      <c r="D12">
        <v>37</v>
      </c>
      <c r="E12" s="117">
        <f t="shared" si="0"/>
        <v>9.2180180180065854</v>
      </c>
    </row>
    <row r="13" spans="2:5" x14ac:dyDescent="0.35">
      <c r="B13" t="s">
        <v>332</v>
      </c>
      <c r="C13" s="178">
        <v>5077.8666666668141</v>
      </c>
      <c r="D13">
        <v>14</v>
      </c>
      <c r="E13" s="117">
        <f t="shared" si="0"/>
        <v>362.70476190477245</v>
      </c>
    </row>
    <row r="14" spans="2:5" x14ac:dyDescent="0.35">
      <c r="B14" t="s">
        <v>331</v>
      </c>
      <c r="C14" s="178">
        <v>267.36666666698875</v>
      </c>
      <c r="D14">
        <v>10</v>
      </c>
      <c r="E14" s="117">
        <f t="shared" si="0"/>
        <v>26.736666666698873</v>
      </c>
    </row>
    <row r="15" spans="2:5" x14ac:dyDescent="0.35">
      <c r="B15">
        <v>2021</v>
      </c>
      <c r="C15" s="178"/>
      <c r="E15" s="117"/>
    </row>
    <row r="16" spans="2:5" x14ac:dyDescent="0.35">
      <c r="B16" t="s">
        <v>330</v>
      </c>
      <c r="C16" s="178">
        <v>490.16666666627862</v>
      </c>
      <c r="D16">
        <v>31</v>
      </c>
      <c r="E16" s="117">
        <f t="shared" si="0"/>
        <v>15.81182795697673</v>
      </c>
    </row>
    <row r="17" spans="2:10" x14ac:dyDescent="0.35">
      <c r="B17" t="s">
        <v>332</v>
      </c>
      <c r="C17" s="178">
        <v>14150.783333333326</v>
      </c>
      <c r="D17">
        <v>31</v>
      </c>
      <c r="E17" s="117">
        <f t="shared" si="0"/>
        <v>456.47688172042984</v>
      </c>
    </row>
    <row r="18" spans="2:10" x14ac:dyDescent="0.35">
      <c r="B18">
        <v>2022</v>
      </c>
      <c r="C18" s="178"/>
      <c r="E18" s="117"/>
    </row>
    <row r="19" spans="2:10" x14ac:dyDescent="0.35">
      <c r="B19" t="s">
        <v>330</v>
      </c>
      <c r="C19" s="178">
        <v>164.68333333457122</v>
      </c>
      <c r="D19">
        <v>67</v>
      </c>
      <c r="E19" s="117">
        <f t="shared" si="0"/>
        <v>2.457960199023451</v>
      </c>
    </row>
    <row r="20" spans="2:10" x14ac:dyDescent="0.35">
      <c r="B20" t="s">
        <v>332</v>
      </c>
      <c r="C20" s="178">
        <v>17.633333333709743</v>
      </c>
      <c r="D20">
        <v>5</v>
      </c>
      <c r="E20" s="117">
        <f t="shared" si="0"/>
        <v>3.5266666667419484</v>
      </c>
    </row>
    <row r="21" spans="2:10" x14ac:dyDescent="0.35">
      <c r="B21">
        <v>2023</v>
      </c>
      <c r="C21" s="178"/>
      <c r="E21" s="117"/>
    </row>
    <row r="22" spans="2:10" x14ac:dyDescent="0.35">
      <c r="B22" t="s">
        <v>330</v>
      </c>
      <c r="C22" s="178">
        <v>4.8166666666511446</v>
      </c>
      <c r="D22">
        <v>3</v>
      </c>
      <c r="E22" s="117">
        <f t="shared" si="0"/>
        <v>1.6055555555503815</v>
      </c>
    </row>
    <row r="23" spans="2:10" x14ac:dyDescent="0.35">
      <c r="B23" t="s">
        <v>332</v>
      </c>
      <c r="C23" s="178">
        <v>21.450000000069849</v>
      </c>
      <c r="D23">
        <v>3</v>
      </c>
      <c r="E23" s="117">
        <f t="shared" si="0"/>
        <v>7.1500000000232831</v>
      </c>
    </row>
    <row r="24" spans="2:10" x14ac:dyDescent="0.35">
      <c r="B24" t="s">
        <v>333</v>
      </c>
      <c r="C24" s="178"/>
      <c r="E24" s="117"/>
    </row>
    <row r="25" spans="2:10" x14ac:dyDescent="0.35">
      <c r="B25" t="s">
        <v>334</v>
      </c>
      <c r="C25" s="178">
        <v>21029.516666668234</v>
      </c>
      <c r="D25">
        <v>1976</v>
      </c>
      <c r="E25" s="117">
        <f>C25/D25</f>
        <v>10.642467948718743</v>
      </c>
    </row>
    <row r="26" spans="2:10" x14ac:dyDescent="0.35">
      <c r="C26" s="178">
        <f>C25-C17</f>
        <v>6878.7333333349088</v>
      </c>
      <c r="D26">
        <f>D25-D17</f>
        <v>1945</v>
      </c>
      <c r="E26" s="117">
        <f>C26/D26</f>
        <v>3.5366238217660197</v>
      </c>
      <c r="F26" t="s">
        <v>335</v>
      </c>
    </row>
    <row r="28" spans="2:10" x14ac:dyDescent="0.35">
      <c r="C28" s="415" t="s">
        <v>336</v>
      </c>
      <c r="D28" s="415"/>
      <c r="E28" s="415"/>
      <c r="I28" t="s">
        <v>337</v>
      </c>
    </row>
    <row r="29" spans="2:10" ht="45" customHeight="1" x14ac:dyDescent="0.35">
      <c r="C29" s="135" t="s">
        <v>330</v>
      </c>
      <c r="D29" s="135" t="s">
        <v>332</v>
      </c>
      <c r="E29" s="135" t="s">
        <v>331</v>
      </c>
      <c r="F29" s="135" t="s">
        <v>338</v>
      </c>
      <c r="G29" s="135"/>
      <c r="H29" s="135"/>
      <c r="I29" s="135" t="s">
        <v>338</v>
      </c>
      <c r="J29" s="135" t="s">
        <v>339</v>
      </c>
    </row>
    <row r="30" spans="2:10" x14ac:dyDescent="0.35">
      <c r="B30">
        <v>2020</v>
      </c>
      <c r="C30" s="117">
        <f>C12</f>
        <v>341.06666666624369</v>
      </c>
      <c r="D30" s="117">
        <f>C13</f>
        <v>5077.8666666668141</v>
      </c>
      <c r="E30" s="117">
        <f>C14</f>
        <v>267.36666666698875</v>
      </c>
      <c r="F30">
        <f>D12+D13+D14</f>
        <v>61</v>
      </c>
      <c r="I30">
        <v>19</v>
      </c>
      <c r="J30" s="116">
        <v>31.805653717627923</v>
      </c>
    </row>
    <row r="31" spans="2:10" x14ac:dyDescent="0.35">
      <c r="B31">
        <f>B30+1</f>
        <v>2021</v>
      </c>
      <c r="C31" s="117">
        <f>C16</f>
        <v>490.16666666627862</v>
      </c>
      <c r="D31" s="117">
        <f>C17</f>
        <v>14150.783333333326</v>
      </c>
      <c r="F31">
        <f>D16+D17</f>
        <v>62</v>
      </c>
      <c r="I31">
        <v>28</v>
      </c>
      <c r="J31" s="116">
        <v>63.157284580494434</v>
      </c>
    </row>
    <row r="32" spans="2:10" x14ac:dyDescent="0.35">
      <c r="B32">
        <f>B31+1</f>
        <v>2022</v>
      </c>
      <c r="C32" s="117">
        <f>C19</f>
        <v>164.68333333457122</v>
      </c>
      <c r="D32" s="117">
        <f>C20</f>
        <v>17.633333333709743</v>
      </c>
      <c r="F32">
        <f>D19+D20</f>
        <v>72</v>
      </c>
      <c r="I32">
        <v>32</v>
      </c>
      <c r="J32" s="116">
        <v>2.7485243055607498</v>
      </c>
    </row>
    <row r="33" spans="2:10" x14ac:dyDescent="0.35">
      <c r="B33">
        <f>B32+1</f>
        <v>2023</v>
      </c>
      <c r="C33" s="117">
        <f>C22</f>
        <v>4.8166666666511446</v>
      </c>
      <c r="D33" s="117">
        <f>C23</f>
        <v>21.450000000069849</v>
      </c>
      <c r="F33">
        <f>D22+D23</f>
        <v>6</v>
      </c>
    </row>
    <row r="34" spans="2:10" x14ac:dyDescent="0.35">
      <c r="C34" s="117">
        <f>AVERAGE(C30:C32)</f>
        <v>331.97222222236451</v>
      </c>
      <c r="D34" s="117"/>
      <c r="E34" s="117"/>
      <c r="F34" s="117"/>
      <c r="I34" s="117">
        <f>AVERAGE(I30:I32)</f>
        <v>26.333333333333332</v>
      </c>
      <c r="J34" s="116">
        <f>AVERAGE(J30:J32)</f>
        <v>32.570487534561032</v>
      </c>
    </row>
    <row r="35" spans="2:10" x14ac:dyDescent="0.35">
      <c r="C35" t="s">
        <v>340</v>
      </c>
      <c r="J35" t="s">
        <v>340</v>
      </c>
    </row>
  </sheetData>
  <sheetProtection algorithmName="SHA-512" hashValue="Utw6gXAC8Lai6IOG5tN2IrLI2lLmPJ6hgg0qvCJRUth+kvH/TxPsVcYlnyVmML4Pl3z6J/h0XcwWjxfQPjOfgQ==" saltValue="ngT9YdA8wOJdUYK+lFPOSw==" spinCount="100000" sheet="1" objects="1" scenarios="1"/>
  <mergeCells count="1">
    <mergeCell ref="C28:E2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0EEA5-BD14-4FCA-A7EF-FA5E8BBC0FAC}">
  <dimension ref="C3:H29"/>
  <sheetViews>
    <sheetView zoomScaleNormal="100" workbookViewId="0">
      <selection activeCell="E12" sqref="E12"/>
    </sheetView>
  </sheetViews>
  <sheetFormatPr defaultRowHeight="14.5" x14ac:dyDescent="0.35"/>
  <cols>
    <col min="3" max="3" width="24.7265625" customWidth="1"/>
    <col min="4" max="4" width="23.7265625" customWidth="1"/>
    <col min="5" max="5" width="49.453125" customWidth="1"/>
    <col min="6" max="6" width="40.7265625" customWidth="1"/>
    <col min="7" max="7" width="16.54296875" style="47" bestFit="1" customWidth="1"/>
  </cols>
  <sheetData>
    <row r="3" spans="3:8" ht="29" x14ac:dyDescent="0.35">
      <c r="C3" s="183" t="s">
        <v>82</v>
      </c>
      <c r="D3" s="183" t="s">
        <v>83</v>
      </c>
      <c r="E3" s="284" t="s">
        <v>84</v>
      </c>
      <c r="F3" s="283" t="s">
        <v>85</v>
      </c>
      <c r="G3" s="402" t="s">
        <v>86</v>
      </c>
      <c r="H3" s="35"/>
    </row>
    <row r="4" spans="3:8" ht="15" customHeight="1" x14ac:dyDescent="0.35">
      <c r="C4" s="404" t="s">
        <v>87</v>
      </c>
      <c r="D4" s="405" t="s">
        <v>88</v>
      </c>
      <c r="E4" s="103" t="str">
        <f>'BCA-Summary'!B9</f>
        <v>Safety Benefits</v>
      </c>
      <c r="F4" s="92"/>
      <c r="G4" s="92"/>
    </row>
    <row r="5" spans="3:8" ht="15" customHeight="1" x14ac:dyDescent="0.35">
      <c r="C5" s="404"/>
      <c r="D5" s="405"/>
      <c r="E5" s="106" t="str">
        <f>'BCA-Summary'!B10</f>
        <v>Reduced Roadway Fatalities and Crashes</v>
      </c>
      <c r="F5" s="89" t="s">
        <v>89</v>
      </c>
      <c r="G5" s="304">
        <f>'BCA-Summary'!C10</f>
        <v>37.625202804371256</v>
      </c>
    </row>
    <row r="6" spans="3:8" ht="15" customHeight="1" x14ac:dyDescent="0.35">
      <c r="C6" s="404"/>
      <c r="D6" s="405"/>
      <c r="E6" s="106" t="str">
        <f>'BCA-Summary'!B11</f>
        <v>Emergency Services</v>
      </c>
      <c r="F6" s="89" t="s">
        <v>90</v>
      </c>
      <c r="G6" s="304">
        <f>'BCA-Summary'!C11</f>
        <v>11.455023114974514</v>
      </c>
    </row>
    <row r="7" spans="3:8" ht="15" customHeight="1" x14ac:dyDescent="0.35">
      <c r="C7" s="404"/>
      <c r="D7" s="405"/>
      <c r="E7" s="106" t="str">
        <f>'BCA-Summary'!B12</f>
        <v>Wildlife Safety</v>
      </c>
      <c r="F7" s="89" t="s">
        <v>91</v>
      </c>
      <c r="G7" s="304">
        <f>'BCA-Summary'!C12</f>
        <v>1.5602049725619866E-2</v>
      </c>
    </row>
    <row r="8" spans="3:8" ht="15" customHeight="1" x14ac:dyDescent="0.35">
      <c r="C8" s="404"/>
      <c r="D8" s="405"/>
      <c r="E8" s="103"/>
      <c r="F8" s="92"/>
      <c r="G8" s="304"/>
    </row>
    <row r="9" spans="3:8" ht="15" customHeight="1" x14ac:dyDescent="0.35">
      <c r="C9" s="404"/>
      <c r="D9" s="405"/>
      <c r="E9" s="103" t="str">
        <f>'BCA-Summary'!B14</f>
        <v>Economic Competitiveness</v>
      </c>
      <c r="F9" s="89"/>
      <c r="G9" s="304"/>
    </row>
    <row r="10" spans="3:8" ht="15" customHeight="1" x14ac:dyDescent="0.35">
      <c r="C10" s="404"/>
      <c r="D10" s="405"/>
      <c r="E10" s="106" t="str">
        <f>'BCA-Summary'!B15</f>
        <v>Auto Travel Time Savings</v>
      </c>
      <c r="F10" s="89" t="s">
        <v>92</v>
      </c>
      <c r="G10" s="304">
        <f>'BCA-Summary'!C15</f>
        <v>54.313065000000002</v>
      </c>
    </row>
    <row r="11" spans="3:8" ht="15" customHeight="1" x14ac:dyDescent="0.35">
      <c r="C11" s="404"/>
      <c r="D11" s="405"/>
      <c r="E11" s="106" t="str">
        <f>'BCA-Summary'!B16</f>
        <v>Truck Travel Time Savings</v>
      </c>
      <c r="F11" s="133" t="s">
        <v>93</v>
      </c>
      <c r="G11" s="304">
        <f>'BCA-Summary'!C16</f>
        <v>3.5776539999999999</v>
      </c>
    </row>
    <row r="12" spans="3:8" ht="15" customHeight="1" x14ac:dyDescent="0.35">
      <c r="C12" s="404"/>
      <c r="D12" s="405"/>
      <c r="E12" s="106" t="str">
        <f>'BCA-Summary'!B17</f>
        <v>Truck Operating Savings</v>
      </c>
      <c r="F12" s="133" t="s">
        <v>94</v>
      </c>
      <c r="G12" s="304">
        <f>'BCA-Summary'!C17</f>
        <v>5.4261100000000004</v>
      </c>
    </row>
    <row r="13" spans="3:8" ht="15" customHeight="1" x14ac:dyDescent="0.35">
      <c r="C13" s="404"/>
      <c r="D13" s="405"/>
      <c r="E13" s="106" t="str">
        <f>'BCA-Summary'!B18</f>
        <v>Signal Coordination Time Savings</v>
      </c>
      <c r="F13" s="133" t="s">
        <v>95</v>
      </c>
      <c r="G13" s="304">
        <f>'BCA-Summary'!C18</f>
        <v>3.000378</v>
      </c>
    </row>
    <row r="14" spans="3:8" ht="15" customHeight="1" x14ac:dyDescent="0.35">
      <c r="C14" s="404"/>
      <c r="D14" s="405"/>
      <c r="E14" s="106" t="str">
        <f>'BCA-Summary'!B19</f>
        <v>Maintenance Detour Delays Avoided</v>
      </c>
      <c r="F14" s="89" t="s">
        <v>96</v>
      </c>
      <c r="G14" s="304">
        <f>'BCA-Summary'!C19</f>
        <v>12.029724999999999</v>
      </c>
    </row>
    <row r="15" spans="3:8" ht="15" customHeight="1" x14ac:dyDescent="0.35">
      <c r="C15" s="404"/>
      <c r="D15" s="405"/>
      <c r="E15" s="106" t="str">
        <f>'BCA-Summary'!B20</f>
        <v>DMS/Trailblazers Detour Delays Avoided</v>
      </c>
      <c r="F15" s="89" t="s">
        <v>96</v>
      </c>
      <c r="G15" s="304">
        <f>'BCA-Summary'!C20</f>
        <v>68.530015000000006</v>
      </c>
    </row>
    <row r="16" spans="3:8" ht="15" customHeight="1" x14ac:dyDescent="0.35">
      <c r="C16" s="404"/>
      <c r="D16" s="405"/>
      <c r="E16" s="106" t="str">
        <f>'BCA-Summary'!B21</f>
        <v>Agricultural Market Accessibility Benefit</v>
      </c>
      <c r="F16" s="90" t="s">
        <v>97</v>
      </c>
      <c r="G16" s="304">
        <f>'BCA-Summary'!C21</f>
        <v>29.035688238045211</v>
      </c>
    </row>
    <row r="17" spans="3:7" ht="15" customHeight="1" x14ac:dyDescent="0.35">
      <c r="C17" s="404"/>
      <c r="D17" s="405"/>
      <c r="E17" s="106"/>
      <c r="F17" s="89"/>
      <c r="G17" s="304"/>
    </row>
    <row r="18" spans="3:7" ht="15" customHeight="1" x14ac:dyDescent="0.35">
      <c r="C18" s="404"/>
      <c r="D18" s="405"/>
      <c r="E18" s="103" t="str">
        <f>'BCA-Summary'!B23</f>
        <v>Environmental Sustainability</v>
      </c>
      <c r="F18" s="89"/>
      <c r="G18" s="304"/>
    </row>
    <row r="19" spans="3:7" ht="15" customHeight="1" x14ac:dyDescent="0.35">
      <c r="C19" s="404"/>
      <c r="D19" s="405"/>
      <c r="E19" s="106" t="str">
        <f>'BCA-Summary'!B24</f>
        <v>Emission Savings</v>
      </c>
      <c r="F19" s="89" t="s">
        <v>90</v>
      </c>
      <c r="G19" s="304">
        <f>'BCA-Summary'!C24</f>
        <v>1.99057</v>
      </c>
    </row>
    <row r="20" spans="3:7" ht="15" customHeight="1" x14ac:dyDescent="0.35">
      <c r="C20" s="404"/>
      <c r="D20" s="405"/>
      <c r="E20" s="106"/>
      <c r="F20" s="50"/>
      <c r="G20" s="304"/>
    </row>
    <row r="21" spans="3:7" ht="15" customHeight="1" x14ac:dyDescent="0.35">
      <c r="C21" s="404"/>
      <c r="D21" s="405"/>
      <c r="E21" s="103" t="str">
        <f>'BCA-Summary'!B26</f>
        <v>Mobility and Community Connectivity</v>
      </c>
      <c r="G21" s="304"/>
    </row>
    <row r="22" spans="3:7" ht="15" customHeight="1" x14ac:dyDescent="0.35">
      <c r="C22" s="404"/>
      <c r="D22" s="405"/>
      <c r="E22" s="106" t="str">
        <f>'BCA-Summary'!B27</f>
        <v>Paratransit Travel Time Savings</v>
      </c>
      <c r="F22" s="50" t="s">
        <v>98</v>
      </c>
      <c r="G22" s="304">
        <f>'BCA-Summary'!C27</f>
        <v>0.33484000000000003</v>
      </c>
    </row>
    <row r="23" spans="3:7" x14ac:dyDescent="0.35">
      <c r="C23" s="404"/>
      <c r="D23" s="405"/>
      <c r="E23" s="106"/>
      <c r="F23" s="50"/>
      <c r="G23" s="304"/>
    </row>
    <row r="24" spans="3:7" x14ac:dyDescent="0.35">
      <c r="C24" s="404"/>
      <c r="D24" s="405"/>
      <c r="E24" s="103" t="str">
        <f>'BCA-Summary'!B29</f>
        <v>Quality of Life</v>
      </c>
      <c r="F24" s="50"/>
      <c r="G24" s="304"/>
    </row>
    <row r="25" spans="3:7" x14ac:dyDescent="0.35">
      <c r="C25" s="404"/>
      <c r="D25" s="405"/>
      <c r="E25" s="106" t="str">
        <f>'BCA-Summary'!B30</f>
        <v>Resident and Visitor Recreation</v>
      </c>
      <c r="F25" s="50" t="s">
        <v>99</v>
      </c>
      <c r="G25" s="304">
        <f>'BCA-Summary'!C30</f>
        <v>0.15470300000000001</v>
      </c>
    </row>
    <row r="26" spans="3:7" x14ac:dyDescent="0.35">
      <c r="C26" s="404"/>
      <c r="D26" s="405"/>
      <c r="E26" s="106"/>
      <c r="F26" s="50"/>
      <c r="G26" s="305"/>
    </row>
    <row r="27" spans="3:7" x14ac:dyDescent="0.35">
      <c r="C27" s="404"/>
      <c r="D27" s="405"/>
      <c r="E27" s="103" t="str">
        <f>'BCA-Summary'!B32</f>
        <v>State of Good Repair</v>
      </c>
      <c r="F27" s="89"/>
      <c r="G27" s="304"/>
    </row>
    <row r="28" spans="3:7" x14ac:dyDescent="0.35">
      <c r="C28" s="404"/>
      <c r="D28" s="405"/>
      <c r="E28" s="106" t="str">
        <f>'BCA-Summary'!B33</f>
        <v>Net Operating &amp; Maintenance Cost Savings</v>
      </c>
      <c r="F28" s="89" t="s">
        <v>100</v>
      </c>
      <c r="G28" s="304">
        <f>'BCA-Summary'!C33</f>
        <v>8.8398679999999992</v>
      </c>
    </row>
    <row r="29" spans="3:7" x14ac:dyDescent="0.35">
      <c r="C29" s="404"/>
      <c r="D29" s="405"/>
      <c r="E29" s="106" t="str">
        <f>'BCA-Summary'!B34</f>
        <v>Residual Value</v>
      </c>
      <c r="F29" s="89" t="s">
        <v>100</v>
      </c>
      <c r="G29" s="304">
        <f>'BCA-Summary'!C34</f>
        <v>28.947918904312825</v>
      </c>
    </row>
  </sheetData>
  <sheetProtection algorithmName="SHA-512" hashValue="d8Xn3gb2mIj4kNZtDRfvro/7tzAxU8hOZJvgy3UH/UVOLNT7j+Gx3pFo44iJY9b131/NSmx2BUyZSJTnAPaRWg==" saltValue="XYOxlhJSH1lqLW45pw1rjQ==" spinCount="100000" sheet="1" objects="1" scenarios="1"/>
  <mergeCells count="2">
    <mergeCell ref="C4:C29"/>
    <mergeCell ref="D4:D29"/>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53DE4-FA8E-4219-99B5-8DAED425C5D3}">
  <sheetPr>
    <tabColor rgb="FFCDE0FF"/>
  </sheetPr>
  <dimension ref="A1:Z60"/>
  <sheetViews>
    <sheetView topLeftCell="C34" zoomScale="70" zoomScaleNormal="70" workbookViewId="0">
      <selection activeCell="E12" sqref="E12"/>
    </sheetView>
  </sheetViews>
  <sheetFormatPr defaultColWidth="9.26953125" defaultRowHeight="14.5" x14ac:dyDescent="0.35"/>
  <cols>
    <col min="1" max="1" width="17.453125" customWidth="1"/>
    <col min="2" max="2" width="12.54296875" style="60" customWidth="1"/>
    <col min="3" max="3" width="14.453125" style="60" customWidth="1"/>
    <col min="4" max="4" width="12.54296875" style="60" customWidth="1"/>
    <col min="5" max="5" width="13" style="60" bestFit="1" customWidth="1"/>
    <col min="6" max="7" width="13" customWidth="1"/>
    <col min="8" max="8" width="18.7265625" customWidth="1"/>
    <col min="9" max="10" width="13" customWidth="1"/>
    <col min="11" max="12" width="18.7265625" customWidth="1"/>
    <col min="13" max="13" width="13" customWidth="1"/>
    <col min="14" max="15" width="14.7265625" bestFit="1" customWidth="1"/>
    <col min="16" max="26" width="9.26953125" bestFit="1" customWidth="1"/>
  </cols>
  <sheetData>
    <row r="1" spans="1:26" x14ac:dyDescent="0.35">
      <c r="B1" s="60" t="s">
        <v>363</v>
      </c>
    </row>
    <row r="2" spans="1:26" ht="15.65" customHeight="1" x14ac:dyDescent="0.35">
      <c r="B2" s="60">
        <v>2021</v>
      </c>
      <c r="C2" s="159"/>
      <c r="D2" s="60" t="s">
        <v>143</v>
      </c>
    </row>
    <row r="3" spans="1:26" x14ac:dyDescent="0.35">
      <c r="A3" s="141" t="s">
        <v>364</v>
      </c>
      <c r="B3" s="160">
        <f>AVERAGE(8500,5700,3200,3100)</f>
        <v>5125</v>
      </c>
      <c r="C3" s="120"/>
      <c r="D3" s="161">
        <f>Inputs!B13</f>
        <v>0.06</v>
      </c>
    </row>
    <row r="4" spans="1:26" ht="15" customHeight="1" x14ac:dyDescent="0.35">
      <c r="B4" s="60" t="s">
        <v>365</v>
      </c>
      <c r="E4" s="118" t="s">
        <v>366</v>
      </c>
    </row>
    <row r="5" spans="1:26" ht="15" customHeight="1" x14ac:dyDescent="0.35">
      <c r="B5" s="162">
        <f>Inputs!B16</f>
        <v>0.02</v>
      </c>
      <c r="C5" s="60" t="s">
        <v>367</v>
      </c>
    </row>
    <row r="6" spans="1:26" ht="15" customHeight="1" x14ac:dyDescent="0.35">
      <c r="W6" s="415"/>
      <c r="X6" s="415"/>
    </row>
    <row r="7" spans="1:26" ht="15" customHeight="1" x14ac:dyDescent="0.35">
      <c r="B7" s="163"/>
      <c r="C7" s="163" t="s">
        <v>368</v>
      </c>
      <c r="D7" s="163" t="s">
        <v>143</v>
      </c>
      <c r="E7" s="163" t="s">
        <v>369</v>
      </c>
      <c r="G7" s="163"/>
      <c r="H7" s="163" t="s">
        <v>370</v>
      </c>
      <c r="I7" s="275"/>
      <c r="J7" s="163"/>
      <c r="K7" s="163" t="s">
        <v>371</v>
      </c>
      <c r="L7" s="275"/>
    </row>
    <row r="8" spans="1:26" ht="15" customHeight="1" x14ac:dyDescent="0.35">
      <c r="B8" s="164">
        <v>2021</v>
      </c>
      <c r="C8" s="216">
        <f>B3</f>
        <v>5125</v>
      </c>
      <c r="D8" s="165">
        <f t="shared" ref="D8:D48" si="0">SUM(C8*$D$3)</f>
        <v>307.5</v>
      </c>
      <c r="E8" s="121">
        <f>SUM(C8-D8)</f>
        <v>4817.5</v>
      </c>
      <c r="G8" s="164">
        <v>2021</v>
      </c>
      <c r="H8" s="274">
        <v>8500</v>
      </c>
      <c r="I8" s="276"/>
      <c r="J8" s="164">
        <v>2021</v>
      </c>
      <c r="K8" s="274">
        <f>A60</f>
        <v>4673.75</v>
      </c>
      <c r="L8" s="276"/>
    </row>
    <row r="9" spans="1:26" ht="15" customHeight="1" x14ac:dyDescent="0.35">
      <c r="B9" s="81">
        <f>B8+1</f>
        <v>2022</v>
      </c>
      <c r="C9" s="121">
        <f t="shared" ref="C9:C48" si="1">C8*(1+$B$5)</f>
        <v>5227.5</v>
      </c>
      <c r="D9" s="165">
        <f t="shared" si="0"/>
        <v>313.64999999999998</v>
      </c>
      <c r="E9" s="121">
        <f>SUM(C9-D9)</f>
        <v>4913.8500000000004</v>
      </c>
      <c r="G9" s="81">
        <f>G8+1</f>
        <v>2022</v>
      </c>
      <c r="H9" s="121">
        <f t="shared" ref="H9:H48" si="2">H8*(1+$B$5)</f>
        <v>8670</v>
      </c>
      <c r="I9" s="277"/>
      <c r="J9" s="81">
        <f>J8+1</f>
        <v>2022</v>
      </c>
      <c r="K9" s="121">
        <f>K8*(1+$B$5)</f>
        <v>4767.2250000000004</v>
      </c>
      <c r="L9" s="277"/>
    </row>
    <row r="10" spans="1:26" ht="15" customHeight="1" x14ac:dyDescent="0.35">
      <c r="B10" s="81">
        <f>B9+1</f>
        <v>2023</v>
      </c>
      <c r="C10" s="121">
        <f t="shared" si="1"/>
        <v>5332.05</v>
      </c>
      <c r="D10" s="165">
        <f t="shared" si="0"/>
        <v>319.923</v>
      </c>
      <c r="E10" s="121">
        <f t="shared" ref="E10:E48" si="3">SUM(C10-D10)</f>
        <v>5012.1270000000004</v>
      </c>
      <c r="G10" s="81">
        <f>G9+1</f>
        <v>2023</v>
      </c>
      <c r="H10" s="121">
        <f t="shared" si="2"/>
        <v>8843.4</v>
      </c>
      <c r="I10" s="277"/>
      <c r="J10" s="81">
        <f>J9+1</f>
        <v>2023</v>
      </c>
      <c r="K10" s="121">
        <f t="shared" ref="K10:K48" si="4">K9*(1+$B$5)</f>
        <v>4862.5695000000005</v>
      </c>
      <c r="L10" s="277"/>
    </row>
    <row r="11" spans="1:26" ht="15" customHeight="1" x14ac:dyDescent="0.35">
      <c r="B11" s="81">
        <f t="shared" ref="B11:B12" si="5">B10+1</f>
        <v>2024</v>
      </c>
      <c r="C11" s="121">
        <f t="shared" si="1"/>
        <v>5438.6910000000007</v>
      </c>
      <c r="D11" s="165">
        <f t="shared" si="0"/>
        <v>326.32146000000006</v>
      </c>
      <c r="E11" s="121">
        <f t="shared" si="3"/>
        <v>5112.3695400000006</v>
      </c>
      <c r="G11" s="81">
        <f>G10+1</f>
        <v>2024</v>
      </c>
      <c r="H11" s="121">
        <f t="shared" si="2"/>
        <v>9020.268</v>
      </c>
      <c r="I11" s="277"/>
      <c r="J11" s="81">
        <f>J10+1</f>
        <v>2024</v>
      </c>
      <c r="K11" s="121">
        <f t="shared" si="4"/>
        <v>4959.8208900000009</v>
      </c>
      <c r="L11" s="277"/>
      <c r="Z11" s="416"/>
    </row>
    <row r="12" spans="1:26" ht="15" customHeight="1" x14ac:dyDescent="0.35">
      <c r="B12" s="81">
        <f t="shared" si="5"/>
        <v>2025</v>
      </c>
      <c r="C12" s="121">
        <f t="shared" si="1"/>
        <v>5547.4648200000011</v>
      </c>
      <c r="D12" s="165">
        <f t="shared" si="0"/>
        <v>332.84788920000005</v>
      </c>
      <c r="E12" s="121">
        <f t="shared" si="3"/>
        <v>5214.6169308000008</v>
      </c>
      <c r="G12" s="81">
        <f>G11+1</f>
        <v>2025</v>
      </c>
      <c r="H12" s="121">
        <f t="shared" si="2"/>
        <v>9200.6733600000007</v>
      </c>
      <c r="I12" s="277"/>
      <c r="J12" s="81">
        <f>J11+1</f>
        <v>2025</v>
      </c>
      <c r="K12" s="121">
        <f t="shared" si="4"/>
        <v>5059.0173078000007</v>
      </c>
      <c r="L12" s="277"/>
      <c r="Z12" s="416"/>
    </row>
    <row r="13" spans="1:26" ht="15" customHeight="1" x14ac:dyDescent="0.35">
      <c r="B13" s="81">
        <v>2025</v>
      </c>
      <c r="C13" s="121">
        <f t="shared" si="1"/>
        <v>5658.4141164000011</v>
      </c>
      <c r="D13" s="165">
        <f t="shared" si="0"/>
        <v>339.50484698400004</v>
      </c>
      <c r="E13" s="121">
        <f t="shared" si="3"/>
        <v>5318.9092694160008</v>
      </c>
      <c r="G13" s="81">
        <v>2025</v>
      </c>
      <c r="H13" s="121">
        <f t="shared" si="2"/>
        <v>9384.6868272000011</v>
      </c>
      <c r="I13" s="277"/>
      <c r="J13" s="81">
        <v>2025</v>
      </c>
      <c r="K13" s="121">
        <f t="shared" si="4"/>
        <v>5160.197653956001</v>
      </c>
      <c r="L13" s="277"/>
    </row>
    <row r="14" spans="1:26" ht="15" customHeight="1" x14ac:dyDescent="0.35">
      <c r="B14" s="81">
        <f>B13+1</f>
        <v>2026</v>
      </c>
      <c r="C14" s="121">
        <f t="shared" si="1"/>
        <v>5771.582398728001</v>
      </c>
      <c r="D14" s="165">
        <f t="shared" si="0"/>
        <v>346.29494392368002</v>
      </c>
      <c r="E14" s="121">
        <f t="shared" si="3"/>
        <v>5425.287454804321</v>
      </c>
      <c r="G14" s="81">
        <f>G13+1</f>
        <v>2026</v>
      </c>
      <c r="H14" s="121">
        <f t="shared" si="2"/>
        <v>9572.3805637440018</v>
      </c>
      <c r="I14" s="277"/>
      <c r="J14" s="81">
        <f>J13+1</f>
        <v>2026</v>
      </c>
      <c r="K14" s="121">
        <f t="shared" si="4"/>
        <v>5263.4016070351208</v>
      </c>
      <c r="L14" s="277"/>
    </row>
    <row r="15" spans="1:26" ht="15" customHeight="1" x14ac:dyDescent="0.35">
      <c r="B15" s="81">
        <f>B14+1</f>
        <v>2027</v>
      </c>
      <c r="C15" s="121">
        <f t="shared" si="1"/>
        <v>5887.0140467025612</v>
      </c>
      <c r="D15" s="165">
        <f t="shared" si="0"/>
        <v>353.22084280215364</v>
      </c>
      <c r="E15" s="121">
        <f t="shared" si="3"/>
        <v>5533.7932039004072</v>
      </c>
      <c r="G15" s="81">
        <f>G14+1</f>
        <v>2027</v>
      </c>
      <c r="H15" s="121">
        <f t="shared" si="2"/>
        <v>9763.8281750188817</v>
      </c>
      <c r="I15" s="277"/>
      <c r="J15" s="81">
        <f>J14+1</f>
        <v>2027</v>
      </c>
      <c r="K15" s="121">
        <f t="shared" si="4"/>
        <v>5368.6696391758232</v>
      </c>
      <c r="L15" s="277"/>
    </row>
    <row r="16" spans="1:26" ht="15" customHeight="1" x14ac:dyDescent="0.35">
      <c r="B16" s="81">
        <f t="shared" ref="B16:B17" si="6">B15+1</f>
        <v>2028</v>
      </c>
      <c r="C16" s="121">
        <f t="shared" si="1"/>
        <v>6004.7543276366123</v>
      </c>
      <c r="D16" s="165">
        <f t="shared" si="0"/>
        <v>360.28525965819671</v>
      </c>
      <c r="E16" s="121">
        <f t="shared" si="3"/>
        <v>5644.4690679784153</v>
      </c>
      <c r="G16" s="81">
        <f>G15+1</f>
        <v>2028</v>
      </c>
      <c r="H16" s="121">
        <f t="shared" si="2"/>
        <v>9959.1047385192596</v>
      </c>
      <c r="I16" s="277"/>
      <c r="J16" s="81">
        <f>J15+1</f>
        <v>2028</v>
      </c>
      <c r="K16" s="121">
        <f t="shared" si="4"/>
        <v>5476.0430319593397</v>
      </c>
      <c r="L16" s="277"/>
    </row>
    <row r="17" spans="2:12" ht="15" customHeight="1" x14ac:dyDescent="0.35">
      <c r="B17" s="81">
        <f t="shared" si="6"/>
        <v>2029</v>
      </c>
      <c r="C17" s="121">
        <f t="shared" si="1"/>
        <v>6124.8494141893443</v>
      </c>
      <c r="D17" s="165">
        <f t="shared" si="0"/>
        <v>367.49096485136067</v>
      </c>
      <c r="E17" s="121">
        <f t="shared" si="3"/>
        <v>5757.358449337984</v>
      </c>
      <c r="G17" s="81">
        <f>G16+1</f>
        <v>2029</v>
      </c>
      <c r="H17" s="121">
        <f t="shared" si="2"/>
        <v>10158.286833289645</v>
      </c>
      <c r="I17" s="277"/>
      <c r="J17" s="81">
        <f>J16+1</f>
        <v>2029</v>
      </c>
      <c r="K17" s="121">
        <f t="shared" si="4"/>
        <v>5585.5638925985268</v>
      </c>
      <c r="L17" s="277"/>
    </row>
    <row r="18" spans="2:12" ht="15" customHeight="1" x14ac:dyDescent="0.35">
      <c r="B18" s="81">
        <v>2030</v>
      </c>
      <c r="C18" s="121">
        <f t="shared" si="1"/>
        <v>6247.3464024731311</v>
      </c>
      <c r="D18" s="165">
        <f t="shared" si="0"/>
        <v>374.84078414838785</v>
      </c>
      <c r="E18" s="121">
        <f t="shared" si="3"/>
        <v>5872.5056183247434</v>
      </c>
      <c r="G18" s="81">
        <v>2030</v>
      </c>
      <c r="H18" s="121">
        <f t="shared" si="2"/>
        <v>10361.452569955438</v>
      </c>
      <c r="I18" s="277"/>
      <c r="J18" s="81">
        <v>2030</v>
      </c>
      <c r="K18" s="121">
        <f t="shared" si="4"/>
        <v>5697.2751704504972</v>
      </c>
      <c r="L18" s="277"/>
    </row>
    <row r="19" spans="2:12" ht="15" customHeight="1" x14ac:dyDescent="0.35">
      <c r="B19" s="81">
        <f>B18+1</f>
        <v>2031</v>
      </c>
      <c r="C19" s="121">
        <f t="shared" si="1"/>
        <v>6372.2933305225943</v>
      </c>
      <c r="D19" s="165">
        <f t="shared" si="0"/>
        <v>382.33759983135565</v>
      </c>
      <c r="E19" s="121">
        <f t="shared" si="3"/>
        <v>5989.9557306912384</v>
      </c>
      <c r="G19" s="81">
        <f>G18+1</f>
        <v>2031</v>
      </c>
      <c r="H19" s="121">
        <f t="shared" si="2"/>
        <v>10568.681621354546</v>
      </c>
      <c r="I19" s="277"/>
      <c r="J19" s="81">
        <f>J18+1</f>
        <v>2031</v>
      </c>
      <c r="K19" s="121">
        <f t="shared" si="4"/>
        <v>5811.2206738595069</v>
      </c>
      <c r="L19" s="277"/>
    </row>
    <row r="20" spans="2:12" ht="15" customHeight="1" x14ac:dyDescent="0.35">
      <c r="B20" s="81">
        <f>B19+1</f>
        <v>2032</v>
      </c>
      <c r="C20" s="121">
        <f t="shared" si="1"/>
        <v>6499.7391971330462</v>
      </c>
      <c r="D20" s="165">
        <f t="shared" si="0"/>
        <v>389.98435182798278</v>
      </c>
      <c r="E20" s="121">
        <f t="shared" si="3"/>
        <v>6109.7548453050631</v>
      </c>
      <c r="G20" s="81">
        <f>G19+1</f>
        <v>2032</v>
      </c>
      <c r="H20" s="121">
        <f t="shared" si="2"/>
        <v>10780.055253781637</v>
      </c>
      <c r="I20" s="277"/>
      <c r="J20" s="81">
        <f>J19+1</f>
        <v>2032</v>
      </c>
      <c r="K20" s="121">
        <f t="shared" si="4"/>
        <v>5927.4450873366968</v>
      </c>
      <c r="L20" s="277"/>
    </row>
    <row r="21" spans="2:12" ht="15" customHeight="1" x14ac:dyDescent="0.35">
      <c r="B21" s="81">
        <f t="shared" ref="B21:B22" si="7">B20+1</f>
        <v>2033</v>
      </c>
      <c r="C21" s="121">
        <f t="shared" si="1"/>
        <v>6629.7339810757076</v>
      </c>
      <c r="D21" s="165">
        <f t="shared" si="0"/>
        <v>397.78403886454242</v>
      </c>
      <c r="E21" s="121">
        <f t="shared" si="3"/>
        <v>6231.9499422111649</v>
      </c>
      <c r="G21" s="81">
        <f>G20+1</f>
        <v>2033</v>
      </c>
      <c r="H21" s="121">
        <f t="shared" si="2"/>
        <v>10995.65635885727</v>
      </c>
      <c r="I21" s="277"/>
      <c r="J21" s="81">
        <f>J20+1</f>
        <v>2033</v>
      </c>
      <c r="K21" s="121">
        <f t="shared" si="4"/>
        <v>6045.9939890834312</v>
      </c>
      <c r="L21" s="277"/>
    </row>
    <row r="22" spans="2:12" ht="15" customHeight="1" x14ac:dyDescent="0.35">
      <c r="B22" s="81">
        <f t="shared" si="7"/>
        <v>2034</v>
      </c>
      <c r="C22" s="121">
        <f t="shared" si="1"/>
        <v>6762.3286606972215</v>
      </c>
      <c r="D22" s="165">
        <f t="shared" si="0"/>
        <v>405.73971964183329</v>
      </c>
      <c r="E22" s="121">
        <f t="shared" si="3"/>
        <v>6356.5889410553882</v>
      </c>
      <c r="G22" s="81">
        <f>G21+1</f>
        <v>2034</v>
      </c>
      <c r="H22" s="121">
        <f t="shared" si="2"/>
        <v>11215.569486034416</v>
      </c>
      <c r="I22" s="277"/>
      <c r="J22" s="81">
        <f>J21+1</f>
        <v>2034</v>
      </c>
      <c r="K22" s="121">
        <f t="shared" si="4"/>
        <v>6166.9138688651001</v>
      </c>
      <c r="L22" s="277"/>
    </row>
    <row r="23" spans="2:12" ht="15" customHeight="1" x14ac:dyDescent="0.35">
      <c r="B23" s="81">
        <v>2035</v>
      </c>
      <c r="C23" s="121">
        <f t="shared" si="1"/>
        <v>6897.5752339111659</v>
      </c>
      <c r="D23" s="165">
        <f t="shared" si="0"/>
        <v>413.85451403466993</v>
      </c>
      <c r="E23" s="121">
        <f t="shared" si="3"/>
        <v>6483.7207198764963</v>
      </c>
      <c r="G23" s="81">
        <v>2035</v>
      </c>
      <c r="H23" s="121">
        <f t="shared" si="2"/>
        <v>11439.880875755103</v>
      </c>
      <c r="I23" s="277"/>
      <c r="J23" s="81">
        <v>2035</v>
      </c>
      <c r="K23" s="121">
        <f t="shared" si="4"/>
        <v>6290.252146242402</v>
      </c>
      <c r="L23" s="277"/>
    </row>
    <row r="24" spans="2:12" ht="15" customHeight="1" x14ac:dyDescent="0.35">
      <c r="B24" s="81">
        <f>B23+1</f>
        <v>2036</v>
      </c>
      <c r="C24" s="121">
        <f t="shared" si="1"/>
        <v>7035.5267385893894</v>
      </c>
      <c r="D24" s="165">
        <f t="shared" si="0"/>
        <v>422.13160431536335</v>
      </c>
      <c r="E24" s="121">
        <f t="shared" si="3"/>
        <v>6613.3951342740256</v>
      </c>
      <c r="G24" s="81">
        <f>G23+1</f>
        <v>2036</v>
      </c>
      <c r="H24" s="121">
        <f t="shared" si="2"/>
        <v>11668.678493270205</v>
      </c>
      <c r="I24" s="277"/>
      <c r="J24" s="81">
        <f>J23+1</f>
        <v>2036</v>
      </c>
      <c r="K24" s="121">
        <f t="shared" si="4"/>
        <v>6416.0571891672498</v>
      </c>
      <c r="L24" s="277"/>
    </row>
    <row r="25" spans="2:12" ht="15" customHeight="1" x14ac:dyDescent="0.35">
      <c r="B25" s="81">
        <f>B24+1</f>
        <v>2037</v>
      </c>
      <c r="C25" s="121">
        <f t="shared" si="1"/>
        <v>7176.2372733611774</v>
      </c>
      <c r="D25" s="165">
        <f t="shared" si="0"/>
        <v>430.57423640167065</v>
      </c>
      <c r="E25" s="121">
        <f t="shared" si="3"/>
        <v>6745.6630369595068</v>
      </c>
      <c r="G25" s="81">
        <f>G24+1</f>
        <v>2037</v>
      </c>
      <c r="H25" s="121">
        <f t="shared" si="2"/>
        <v>11902.052063135608</v>
      </c>
      <c r="I25" s="277"/>
      <c r="J25" s="81">
        <f>J24+1</f>
        <v>2037</v>
      </c>
      <c r="K25" s="121">
        <f t="shared" si="4"/>
        <v>6544.378332950595</v>
      </c>
      <c r="L25" s="277"/>
    </row>
    <row r="26" spans="2:12" ht="15" customHeight="1" x14ac:dyDescent="0.35">
      <c r="B26" s="81">
        <f t="shared" ref="B26:B27" si="8">B25+1</f>
        <v>2038</v>
      </c>
      <c r="C26" s="121">
        <f t="shared" si="1"/>
        <v>7319.7620188284009</v>
      </c>
      <c r="D26" s="165">
        <f t="shared" si="0"/>
        <v>439.18572112970406</v>
      </c>
      <c r="E26" s="121">
        <f t="shared" si="3"/>
        <v>6880.5762976986971</v>
      </c>
      <c r="G26" s="81">
        <f>G25+1</f>
        <v>2038</v>
      </c>
      <c r="H26" s="121">
        <f t="shared" si="2"/>
        <v>12140.09310439832</v>
      </c>
      <c r="I26" s="277"/>
      <c r="J26" s="81">
        <f>J25+1</f>
        <v>2038</v>
      </c>
      <c r="K26" s="121">
        <f t="shared" si="4"/>
        <v>6675.265899609607</v>
      </c>
      <c r="L26" s="277"/>
    </row>
    <row r="27" spans="2:12" ht="15" customHeight="1" x14ac:dyDescent="0.35">
      <c r="B27" s="81">
        <f t="shared" si="8"/>
        <v>2039</v>
      </c>
      <c r="C27" s="121">
        <f t="shared" si="1"/>
        <v>7466.1572592049688</v>
      </c>
      <c r="D27" s="165">
        <f t="shared" si="0"/>
        <v>447.96943555229814</v>
      </c>
      <c r="E27" s="121">
        <f t="shared" si="3"/>
        <v>7018.1878236526709</v>
      </c>
      <c r="G27" s="81">
        <f>G26+1</f>
        <v>2039</v>
      </c>
      <c r="H27" s="121">
        <f t="shared" si="2"/>
        <v>12382.894966486287</v>
      </c>
      <c r="I27" s="277"/>
      <c r="J27" s="81">
        <f>J26+1</f>
        <v>2039</v>
      </c>
      <c r="K27" s="121">
        <f t="shared" si="4"/>
        <v>6808.7712176017994</v>
      </c>
      <c r="L27" s="277"/>
    </row>
    <row r="28" spans="2:12" ht="15" customHeight="1" x14ac:dyDescent="0.35">
      <c r="B28" s="81">
        <v>2040</v>
      </c>
      <c r="C28" s="121">
        <f t="shared" si="1"/>
        <v>7615.4804043890681</v>
      </c>
      <c r="D28" s="165">
        <f t="shared" si="0"/>
        <v>456.9288242633441</v>
      </c>
      <c r="E28" s="121">
        <f t="shared" si="3"/>
        <v>7158.5515801257243</v>
      </c>
      <c r="G28" s="81">
        <v>2040</v>
      </c>
      <c r="H28" s="121">
        <f t="shared" si="2"/>
        <v>12630.552865816013</v>
      </c>
      <c r="I28" s="277"/>
      <c r="J28" s="81">
        <v>2040</v>
      </c>
      <c r="K28" s="121">
        <f t="shared" si="4"/>
        <v>6944.9466419538358</v>
      </c>
      <c r="L28" s="277"/>
    </row>
    <row r="29" spans="2:12" ht="15" customHeight="1" x14ac:dyDescent="0.35">
      <c r="B29" s="81">
        <f>B28+1</f>
        <v>2041</v>
      </c>
      <c r="C29" s="121">
        <f t="shared" si="1"/>
        <v>7767.7900124768494</v>
      </c>
      <c r="D29" s="165">
        <f t="shared" si="0"/>
        <v>466.06740074861096</v>
      </c>
      <c r="E29" s="121">
        <f t="shared" si="3"/>
        <v>7301.722611728238</v>
      </c>
      <c r="G29" s="81">
        <f>G28+1</f>
        <v>2041</v>
      </c>
      <c r="H29" s="121">
        <f t="shared" si="2"/>
        <v>12883.163923132333</v>
      </c>
      <c r="I29" s="277"/>
      <c r="J29" s="81">
        <f>J28+1</f>
        <v>2041</v>
      </c>
      <c r="K29" s="121">
        <f t="shared" si="4"/>
        <v>7083.8455747929129</v>
      </c>
      <c r="L29" s="277"/>
    </row>
    <row r="30" spans="2:12" ht="15" customHeight="1" x14ac:dyDescent="0.35">
      <c r="B30" s="81">
        <f>B29+1</f>
        <v>2042</v>
      </c>
      <c r="C30" s="121">
        <f t="shared" si="1"/>
        <v>7923.1458127263868</v>
      </c>
      <c r="D30" s="165">
        <f t="shared" si="0"/>
        <v>475.38874876358318</v>
      </c>
      <c r="E30" s="121">
        <f t="shared" si="3"/>
        <v>7447.7570639628038</v>
      </c>
      <c r="G30" s="81">
        <f>G29+1</f>
        <v>2042</v>
      </c>
      <c r="H30" s="121">
        <f t="shared" si="2"/>
        <v>13140.827201594981</v>
      </c>
      <c r="I30" s="277"/>
      <c r="J30" s="81">
        <f>J29+1</f>
        <v>2042</v>
      </c>
      <c r="K30" s="121">
        <f t="shared" si="4"/>
        <v>7225.5224862887717</v>
      </c>
      <c r="L30" s="277"/>
    </row>
    <row r="31" spans="2:12" ht="15" customHeight="1" x14ac:dyDescent="0.35">
      <c r="B31" s="81">
        <f t="shared" ref="B31:B33" si="9">B30+1</f>
        <v>2043</v>
      </c>
      <c r="C31" s="121">
        <f t="shared" si="1"/>
        <v>8081.6087289809147</v>
      </c>
      <c r="D31" s="165">
        <f t="shared" si="0"/>
        <v>484.89652373885485</v>
      </c>
      <c r="E31" s="121">
        <f t="shared" si="3"/>
        <v>7596.71220524206</v>
      </c>
      <c r="G31" s="81">
        <f>G30+1</f>
        <v>2043</v>
      </c>
      <c r="H31" s="121">
        <f t="shared" si="2"/>
        <v>13403.64374562688</v>
      </c>
      <c r="I31" s="277"/>
      <c r="J31" s="81">
        <f>J30+1</f>
        <v>2043</v>
      </c>
      <c r="K31" s="121">
        <f t="shared" si="4"/>
        <v>7370.032936014547</v>
      </c>
      <c r="L31" s="277"/>
    </row>
    <row r="32" spans="2:12" ht="15" customHeight="1" x14ac:dyDescent="0.35">
      <c r="B32" s="81">
        <f t="shared" si="9"/>
        <v>2044</v>
      </c>
      <c r="C32" s="121">
        <f t="shared" si="1"/>
        <v>8243.2409035605324</v>
      </c>
      <c r="D32" s="165">
        <f t="shared" si="0"/>
        <v>494.59445421363193</v>
      </c>
      <c r="E32" s="121">
        <f t="shared" si="3"/>
        <v>7748.6464493469002</v>
      </c>
      <c r="G32" s="81">
        <f>G31+1</f>
        <v>2044</v>
      </c>
      <c r="H32" s="121">
        <f t="shared" si="2"/>
        <v>13671.716620539417</v>
      </c>
      <c r="I32" s="277"/>
      <c r="J32" s="81">
        <f>J31+1</f>
        <v>2044</v>
      </c>
      <c r="K32" s="121">
        <f t="shared" si="4"/>
        <v>7517.4335947348382</v>
      </c>
      <c r="L32" s="277"/>
    </row>
    <row r="33" spans="1:12" ht="15" customHeight="1" x14ac:dyDescent="0.35">
      <c r="B33" s="81">
        <f t="shared" si="9"/>
        <v>2045</v>
      </c>
      <c r="C33" s="121">
        <f>C32*(1+$B$5)</f>
        <v>8408.105721631744</v>
      </c>
      <c r="D33" s="165">
        <f t="shared" si="0"/>
        <v>504.48634329790463</v>
      </c>
      <c r="E33" s="121">
        <f t="shared" si="3"/>
        <v>7903.6193783338394</v>
      </c>
      <c r="G33" s="81">
        <f>G32+1</f>
        <v>2045</v>
      </c>
      <c r="H33" s="121">
        <f t="shared" si="2"/>
        <v>13945.150952950205</v>
      </c>
      <c r="I33" s="277"/>
      <c r="J33" s="81">
        <f>J32+1</f>
        <v>2045</v>
      </c>
      <c r="K33" s="121">
        <f t="shared" si="4"/>
        <v>7667.7822666295351</v>
      </c>
      <c r="L33" s="277"/>
    </row>
    <row r="34" spans="1:12" ht="15" customHeight="1" x14ac:dyDescent="0.35">
      <c r="A34" t="s">
        <v>372</v>
      </c>
      <c r="B34" s="166">
        <v>2046</v>
      </c>
      <c r="C34" s="121">
        <f t="shared" si="1"/>
        <v>8576.2678360643786</v>
      </c>
      <c r="D34" s="165">
        <f t="shared" si="0"/>
        <v>514.57607016386271</v>
      </c>
      <c r="E34" s="167">
        <f t="shared" si="3"/>
        <v>8061.6917659005157</v>
      </c>
      <c r="G34" s="166">
        <v>2046</v>
      </c>
      <c r="H34" s="121">
        <f t="shared" si="2"/>
        <v>14224.053972009209</v>
      </c>
      <c r="I34" s="277"/>
      <c r="J34" s="166">
        <v>2046</v>
      </c>
      <c r="K34" s="121">
        <f t="shared" si="4"/>
        <v>7821.1379119621261</v>
      </c>
      <c r="L34" s="277"/>
    </row>
    <row r="35" spans="1:12" ht="15" customHeight="1" x14ac:dyDescent="0.35">
      <c r="B35" s="166">
        <v>2047</v>
      </c>
      <c r="C35" s="121">
        <f t="shared" si="1"/>
        <v>8747.7931927856662</v>
      </c>
      <c r="D35" s="165">
        <f t="shared" si="0"/>
        <v>524.86759156713993</v>
      </c>
      <c r="E35" s="167">
        <f t="shared" si="3"/>
        <v>8222.9256012185269</v>
      </c>
      <c r="G35" s="166">
        <v>2047</v>
      </c>
      <c r="H35" s="121">
        <f t="shared" si="2"/>
        <v>14508.535051449393</v>
      </c>
      <c r="I35" s="277"/>
      <c r="J35" s="166">
        <v>2047</v>
      </c>
      <c r="K35" s="121">
        <f t="shared" si="4"/>
        <v>7977.5606702013683</v>
      </c>
      <c r="L35" s="277"/>
    </row>
    <row r="36" spans="1:12" ht="15" customHeight="1" x14ac:dyDescent="0.35">
      <c r="B36" s="166">
        <v>2048</v>
      </c>
      <c r="C36" s="121">
        <f t="shared" si="1"/>
        <v>8922.7490566413799</v>
      </c>
      <c r="D36" s="165">
        <f t="shared" si="0"/>
        <v>535.36494339848275</v>
      </c>
      <c r="E36" s="167">
        <f t="shared" si="3"/>
        <v>8387.384113242897</v>
      </c>
      <c r="G36" s="166">
        <v>2048</v>
      </c>
      <c r="H36" s="121">
        <f t="shared" si="2"/>
        <v>14798.705752478381</v>
      </c>
      <c r="I36" s="277"/>
      <c r="J36" s="166">
        <v>2048</v>
      </c>
      <c r="K36" s="121">
        <f t="shared" si="4"/>
        <v>8137.1118836053956</v>
      </c>
      <c r="L36" s="277"/>
    </row>
    <row r="37" spans="1:12" ht="15" customHeight="1" x14ac:dyDescent="0.35">
      <c r="B37" s="166">
        <v>2049</v>
      </c>
      <c r="C37" s="121">
        <f t="shared" si="1"/>
        <v>9101.2040377742069</v>
      </c>
      <c r="D37" s="165">
        <f t="shared" si="0"/>
        <v>546.07224226645235</v>
      </c>
      <c r="E37" s="167">
        <f t="shared" si="3"/>
        <v>8555.1317955077538</v>
      </c>
      <c r="G37" s="166">
        <v>2049</v>
      </c>
      <c r="H37" s="121">
        <f t="shared" si="2"/>
        <v>15094.67986752795</v>
      </c>
      <c r="I37" s="277"/>
      <c r="J37" s="166">
        <v>2049</v>
      </c>
      <c r="K37" s="121">
        <f t="shared" si="4"/>
        <v>8299.8541212775035</v>
      </c>
      <c r="L37" s="277"/>
    </row>
    <row r="38" spans="1:12" ht="15" customHeight="1" x14ac:dyDescent="0.35">
      <c r="B38" s="166">
        <v>2050</v>
      </c>
      <c r="C38" s="121">
        <f t="shared" si="1"/>
        <v>9283.2281185296906</v>
      </c>
      <c r="D38" s="165">
        <f t="shared" si="0"/>
        <v>556.99368711178147</v>
      </c>
      <c r="E38" s="167">
        <f t="shared" si="3"/>
        <v>8726.2344314179099</v>
      </c>
      <c r="G38" s="166">
        <v>2050</v>
      </c>
      <c r="H38" s="121">
        <f t="shared" si="2"/>
        <v>15396.573464878509</v>
      </c>
      <c r="I38" s="277"/>
      <c r="J38" s="166">
        <v>2050</v>
      </c>
      <c r="K38" s="121">
        <f t="shared" si="4"/>
        <v>8465.8512037030541</v>
      </c>
      <c r="L38" s="277"/>
    </row>
    <row r="39" spans="1:12" ht="15" customHeight="1" x14ac:dyDescent="0.35">
      <c r="B39" s="166">
        <v>2051</v>
      </c>
      <c r="C39" s="121">
        <f t="shared" si="1"/>
        <v>9468.8926809002842</v>
      </c>
      <c r="D39" s="165">
        <f t="shared" si="0"/>
        <v>568.13356085401699</v>
      </c>
      <c r="E39" s="167">
        <f t="shared" si="3"/>
        <v>8900.7591200462666</v>
      </c>
      <c r="G39" s="166">
        <v>2051</v>
      </c>
      <c r="H39" s="121">
        <f t="shared" si="2"/>
        <v>15704.50493417608</v>
      </c>
      <c r="I39" s="277"/>
      <c r="J39" s="166">
        <v>2051</v>
      </c>
      <c r="K39" s="121">
        <f t="shared" si="4"/>
        <v>8635.168227777116</v>
      </c>
      <c r="L39" s="277"/>
    </row>
    <row r="40" spans="1:12" ht="15" customHeight="1" x14ac:dyDescent="0.35">
      <c r="B40" s="166">
        <v>2052</v>
      </c>
      <c r="C40" s="121">
        <f t="shared" si="1"/>
        <v>9658.2705345182894</v>
      </c>
      <c r="D40" s="165">
        <f t="shared" si="0"/>
        <v>579.49623207109732</v>
      </c>
      <c r="E40" s="167">
        <f t="shared" si="3"/>
        <v>9078.7743024471929</v>
      </c>
      <c r="G40" s="166">
        <v>2052</v>
      </c>
      <c r="H40" s="121">
        <f t="shared" si="2"/>
        <v>16018.595032859603</v>
      </c>
      <c r="I40" s="277"/>
      <c r="J40" s="166">
        <v>2052</v>
      </c>
      <c r="K40" s="121">
        <f t="shared" si="4"/>
        <v>8807.8715923326581</v>
      </c>
      <c r="L40" s="277"/>
    </row>
    <row r="41" spans="1:12" ht="15" customHeight="1" x14ac:dyDescent="0.35">
      <c r="B41" s="166">
        <v>2053</v>
      </c>
      <c r="C41" s="121">
        <f t="shared" si="1"/>
        <v>9851.4359452086555</v>
      </c>
      <c r="D41" s="165">
        <f t="shared" si="0"/>
        <v>591.08615671251926</v>
      </c>
      <c r="E41" s="167">
        <f t="shared" si="3"/>
        <v>9260.3497884961362</v>
      </c>
      <c r="G41" s="166">
        <v>2053</v>
      </c>
      <c r="H41" s="121">
        <f t="shared" si="2"/>
        <v>16338.966933516795</v>
      </c>
      <c r="I41" s="277"/>
      <c r="J41" s="166">
        <v>2053</v>
      </c>
      <c r="K41" s="121">
        <f t="shared" si="4"/>
        <v>8984.0290241793118</v>
      </c>
      <c r="L41" s="277"/>
    </row>
    <row r="42" spans="1:12" ht="15" customHeight="1" x14ac:dyDescent="0.35">
      <c r="B42" s="166">
        <v>2054</v>
      </c>
      <c r="C42" s="121">
        <f t="shared" si="1"/>
        <v>10048.464664112829</v>
      </c>
      <c r="D42" s="165">
        <f t="shared" si="0"/>
        <v>602.90787984676979</v>
      </c>
      <c r="E42" s="167">
        <f t="shared" si="3"/>
        <v>9445.5567842660603</v>
      </c>
      <c r="G42" s="166">
        <v>2054</v>
      </c>
      <c r="H42" s="121">
        <f t="shared" si="2"/>
        <v>16665.746272187131</v>
      </c>
      <c r="I42" s="277"/>
      <c r="J42" s="166">
        <v>2054</v>
      </c>
      <c r="K42" s="121">
        <f t="shared" si="4"/>
        <v>9163.7096046628976</v>
      </c>
      <c r="L42" s="277"/>
    </row>
    <row r="43" spans="1:12" ht="15" customHeight="1" x14ac:dyDescent="0.35">
      <c r="B43" s="166">
        <v>2055</v>
      </c>
      <c r="C43" s="121">
        <f t="shared" si="1"/>
        <v>10249.433957395086</v>
      </c>
      <c r="D43" s="165">
        <f t="shared" si="0"/>
        <v>614.96603744370509</v>
      </c>
      <c r="E43" s="167">
        <f t="shared" si="3"/>
        <v>9634.4679199513812</v>
      </c>
      <c r="G43" s="166">
        <v>2055</v>
      </c>
      <c r="H43" s="121">
        <f t="shared" si="2"/>
        <v>16999.061197630872</v>
      </c>
      <c r="I43" s="277"/>
      <c r="J43" s="166">
        <v>2055</v>
      </c>
      <c r="K43" s="121">
        <f t="shared" si="4"/>
        <v>9346.9837967561562</v>
      </c>
      <c r="L43" s="277"/>
    </row>
    <row r="44" spans="1:12" ht="15" customHeight="1" x14ac:dyDescent="0.35">
      <c r="B44" s="166">
        <v>2056</v>
      </c>
      <c r="C44" s="121">
        <f t="shared" si="1"/>
        <v>10454.422636542988</v>
      </c>
      <c r="D44" s="165">
        <f t="shared" si="0"/>
        <v>627.26535819257924</v>
      </c>
      <c r="E44" s="167">
        <f t="shared" si="3"/>
        <v>9827.1572783504089</v>
      </c>
      <c r="G44" s="166">
        <v>2056</v>
      </c>
      <c r="H44" s="121">
        <f t="shared" si="2"/>
        <v>17339.04242158349</v>
      </c>
      <c r="I44" s="277"/>
      <c r="J44" s="166">
        <v>2056</v>
      </c>
      <c r="K44" s="121">
        <f t="shared" si="4"/>
        <v>9533.92347269128</v>
      </c>
      <c r="L44" s="277"/>
    </row>
    <row r="45" spans="1:12" ht="15" customHeight="1" x14ac:dyDescent="0.35">
      <c r="B45" s="166">
        <v>2057</v>
      </c>
      <c r="C45" s="121">
        <f t="shared" si="1"/>
        <v>10663.511089273848</v>
      </c>
      <c r="D45" s="165">
        <f t="shared" si="0"/>
        <v>639.81066535643083</v>
      </c>
      <c r="E45" s="167">
        <f t="shared" si="3"/>
        <v>10023.700423917418</v>
      </c>
      <c r="G45" s="166">
        <v>2057</v>
      </c>
      <c r="H45" s="121">
        <f t="shared" si="2"/>
        <v>17685.82327001516</v>
      </c>
      <c r="I45" s="277"/>
      <c r="J45" s="166">
        <v>2057</v>
      </c>
      <c r="K45" s="121">
        <f t="shared" si="4"/>
        <v>9724.6019421451056</v>
      </c>
      <c r="L45" s="277"/>
    </row>
    <row r="46" spans="1:12" ht="15" customHeight="1" x14ac:dyDescent="0.35">
      <c r="B46" s="166">
        <v>2058</v>
      </c>
      <c r="C46" s="121">
        <f t="shared" si="1"/>
        <v>10876.781311059325</v>
      </c>
      <c r="D46" s="165">
        <f t="shared" si="0"/>
        <v>652.60687866355954</v>
      </c>
      <c r="E46" s="167">
        <f t="shared" si="3"/>
        <v>10224.174432395766</v>
      </c>
      <c r="G46" s="166">
        <v>2058</v>
      </c>
      <c r="H46" s="121">
        <f t="shared" si="2"/>
        <v>18039.539735415463</v>
      </c>
      <c r="I46" s="277"/>
      <c r="J46" s="166">
        <v>2058</v>
      </c>
      <c r="K46" s="121">
        <f t="shared" si="4"/>
        <v>9919.0939809880074</v>
      </c>
      <c r="L46" s="277"/>
    </row>
    <row r="47" spans="1:12" x14ac:dyDescent="0.35">
      <c r="B47" s="166">
        <v>2059</v>
      </c>
      <c r="C47" s="121">
        <f t="shared" si="1"/>
        <v>11094.316937280511</v>
      </c>
      <c r="D47" s="165">
        <f t="shared" si="0"/>
        <v>665.65901623683067</v>
      </c>
      <c r="E47" s="167">
        <f t="shared" si="3"/>
        <v>10428.657921043681</v>
      </c>
      <c r="G47" s="166">
        <v>2059</v>
      </c>
      <c r="H47" s="121">
        <f t="shared" si="2"/>
        <v>18400.330530123774</v>
      </c>
      <c r="I47" s="277"/>
      <c r="J47" s="166">
        <v>2059</v>
      </c>
      <c r="K47" s="121">
        <f t="shared" si="4"/>
        <v>10117.475860607768</v>
      </c>
      <c r="L47" s="277"/>
    </row>
    <row r="48" spans="1:12" x14ac:dyDescent="0.35">
      <c r="B48" s="166">
        <v>2060</v>
      </c>
      <c r="C48" s="121">
        <f t="shared" si="1"/>
        <v>11316.203276026123</v>
      </c>
      <c r="D48" s="165">
        <f t="shared" si="0"/>
        <v>678.97219656156733</v>
      </c>
      <c r="E48" s="167">
        <f t="shared" si="3"/>
        <v>10637.231079464555</v>
      </c>
      <c r="G48" s="166">
        <v>2060</v>
      </c>
      <c r="H48" s="121">
        <f t="shared" si="2"/>
        <v>18768.337140726249</v>
      </c>
      <c r="I48" s="277"/>
      <c r="J48" s="166">
        <v>2060</v>
      </c>
      <c r="K48" s="121">
        <f t="shared" si="4"/>
        <v>10319.825377819923</v>
      </c>
      <c r="L48" s="277"/>
    </row>
    <row r="54" spans="1:1" x14ac:dyDescent="0.35">
      <c r="A54" t="s">
        <v>373</v>
      </c>
    </row>
    <row r="55" spans="1:1" x14ac:dyDescent="0.35">
      <c r="A55" t="s">
        <v>374</v>
      </c>
    </row>
    <row r="56" spans="1:1" x14ac:dyDescent="0.35">
      <c r="A56">
        <v>4561</v>
      </c>
    </row>
    <row r="57" spans="1:1" x14ac:dyDescent="0.35">
      <c r="A57">
        <v>3987</v>
      </c>
    </row>
    <row r="58" spans="1:1" x14ac:dyDescent="0.35">
      <c r="A58">
        <v>5206</v>
      </c>
    </row>
    <row r="59" spans="1:1" x14ac:dyDescent="0.35">
      <c r="A59">
        <v>4941</v>
      </c>
    </row>
    <row r="60" spans="1:1" x14ac:dyDescent="0.35">
      <c r="A60">
        <f>AVERAGE(A56:A59)</f>
        <v>4673.75</v>
      </c>
    </row>
  </sheetData>
  <sheetProtection algorithmName="SHA-512" hashValue="Fe0E/PjPySFZ7Pa1YJ2aGOJ9z73j9Hr1dBZUdAqGYqLuojwwe5UBB7KeKzvFn6HtqggaLbOf7nkpoZhb08Ih9A==" saltValue="J3px0G+zeYmV7ItMJI60+Q==" spinCount="100000" sheet="1" objects="1" scenarios="1"/>
  <mergeCells count="2">
    <mergeCell ref="Z11:Z12"/>
    <mergeCell ref="W6:X6"/>
  </mergeCells>
  <hyperlinks>
    <hyperlink ref="E4" r:id="rId1" xr:uid="{527063DF-7661-4241-9862-7422E1A73066}"/>
  </hyperlinks>
  <pageMargins left="0.7" right="0.7" top="0.75" bottom="0.75" header="0.3" footer="0.3"/>
  <pageSetup orientation="portrait" horizontalDpi="1200" verticalDpi="1200"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D80BC-39DE-4338-868A-329C19F7FC62}">
  <sheetPr>
    <tabColor rgb="FFCDE0FF"/>
  </sheetPr>
  <dimension ref="A2:AB29"/>
  <sheetViews>
    <sheetView workbookViewId="0">
      <selection activeCell="E12" sqref="E12"/>
    </sheetView>
  </sheetViews>
  <sheetFormatPr defaultRowHeight="14.5" x14ac:dyDescent="0.35"/>
  <cols>
    <col min="1" max="1" width="43.54296875" customWidth="1"/>
    <col min="2" max="2" width="8.7265625" bestFit="1" customWidth="1"/>
    <col min="3" max="3" width="12.7265625" customWidth="1"/>
    <col min="4" max="4" width="7" customWidth="1"/>
    <col min="5" max="5" width="13" customWidth="1"/>
    <col min="20" max="20" width="13.453125" customWidth="1"/>
    <col min="21" max="21" width="14" bestFit="1" customWidth="1"/>
    <col min="22" max="22" width="10.26953125" bestFit="1" customWidth="1"/>
    <col min="24" max="24" width="13.7265625" bestFit="1" customWidth="1"/>
    <col min="25" max="26" width="12.7265625" bestFit="1" customWidth="1"/>
    <col min="28" max="28" width="12.26953125" bestFit="1" customWidth="1"/>
  </cols>
  <sheetData>
    <row r="2" spans="1:28" x14ac:dyDescent="0.35">
      <c r="A2" s="310" t="s">
        <v>638</v>
      </c>
      <c r="B2" s="310" t="s">
        <v>639</v>
      </c>
      <c r="C2" s="311" t="s">
        <v>640</v>
      </c>
      <c r="D2" s="311" t="s">
        <v>641</v>
      </c>
      <c r="E2" s="310" t="s">
        <v>642</v>
      </c>
      <c r="F2" s="310" t="s">
        <v>643</v>
      </c>
      <c r="G2" s="310" t="s">
        <v>644</v>
      </c>
      <c r="H2" s="310" t="s">
        <v>645</v>
      </c>
      <c r="I2" s="310" t="s">
        <v>646</v>
      </c>
      <c r="J2" s="310" t="s">
        <v>647</v>
      </c>
      <c r="K2" s="310" t="s">
        <v>648</v>
      </c>
      <c r="L2" s="310" t="s">
        <v>649</v>
      </c>
      <c r="M2" s="310" t="s">
        <v>650</v>
      </c>
      <c r="N2" s="310" t="s">
        <v>651</v>
      </c>
      <c r="O2" s="310" t="s">
        <v>652</v>
      </c>
      <c r="P2" s="310" t="s">
        <v>653</v>
      </c>
      <c r="Q2" s="310" t="s">
        <v>654</v>
      </c>
      <c r="T2" s="310" t="s">
        <v>655</v>
      </c>
    </row>
    <row r="3" spans="1:28" x14ac:dyDescent="0.35">
      <c r="A3" t="s">
        <v>656</v>
      </c>
      <c r="B3" t="s">
        <v>657</v>
      </c>
      <c r="C3" s="312" t="s">
        <v>658</v>
      </c>
      <c r="D3" s="312" t="str">
        <f t="shared" ref="D3:D27" si="0">LEFT(C3,2)</f>
        <v>02</v>
      </c>
      <c r="E3" t="s">
        <v>659</v>
      </c>
      <c r="F3">
        <v>0</v>
      </c>
      <c r="G3">
        <v>5</v>
      </c>
      <c r="H3">
        <v>0</v>
      </c>
      <c r="I3">
        <v>0</v>
      </c>
      <c r="K3">
        <v>0</v>
      </c>
      <c r="L3">
        <v>5</v>
      </c>
      <c r="M3">
        <v>5</v>
      </c>
      <c r="O3">
        <v>0.5</v>
      </c>
      <c r="P3">
        <v>0</v>
      </c>
      <c r="Q3">
        <v>3</v>
      </c>
      <c r="T3" t="s">
        <v>641</v>
      </c>
      <c r="U3" t="s">
        <v>660</v>
      </c>
      <c r="V3" t="s">
        <v>661</v>
      </c>
      <c r="W3" t="s">
        <v>662</v>
      </c>
      <c r="X3" t="s">
        <v>663</v>
      </c>
      <c r="Y3" t="s">
        <v>664</v>
      </c>
      <c r="Z3" t="s">
        <v>665</v>
      </c>
      <c r="AB3" t="s">
        <v>666</v>
      </c>
    </row>
    <row r="4" spans="1:28" x14ac:dyDescent="0.35">
      <c r="A4" t="s">
        <v>667</v>
      </c>
      <c r="B4" t="s">
        <v>668</v>
      </c>
      <c r="C4" s="312" t="s">
        <v>669</v>
      </c>
      <c r="D4" s="312" t="str">
        <f t="shared" si="0"/>
        <v>02</v>
      </c>
      <c r="E4" t="s">
        <v>670</v>
      </c>
      <c r="F4">
        <v>8</v>
      </c>
      <c r="G4">
        <v>4</v>
      </c>
      <c r="H4">
        <v>4</v>
      </c>
      <c r="I4">
        <v>0</v>
      </c>
      <c r="K4">
        <v>0</v>
      </c>
      <c r="L4">
        <v>16</v>
      </c>
      <c r="M4">
        <v>16</v>
      </c>
      <c r="O4">
        <v>0.5</v>
      </c>
      <c r="P4">
        <v>0</v>
      </c>
      <c r="Q4">
        <v>0</v>
      </c>
      <c r="T4" t="s">
        <v>671</v>
      </c>
      <c r="U4">
        <f>COUNTIF($D$3:$D$27,2)</f>
        <v>3</v>
      </c>
      <c r="V4">
        <f>AVERAGE(L3)</f>
        <v>5</v>
      </c>
      <c r="W4">
        <f>AVERAGE(L4:L5)</f>
        <v>14</v>
      </c>
      <c r="X4">
        <f>52/4</f>
        <v>13</v>
      </c>
      <c r="Y4">
        <f>SUM(X4*5)</f>
        <v>65</v>
      </c>
      <c r="Z4">
        <f>SUM(X4*2)</f>
        <v>26</v>
      </c>
      <c r="AA4" t="s">
        <v>672</v>
      </c>
      <c r="AB4">
        <f>SUM(Y4*V4)+SUM(Z4*W4)</f>
        <v>689</v>
      </c>
    </row>
    <row r="5" spans="1:28" x14ac:dyDescent="0.35">
      <c r="A5" t="s">
        <v>673</v>
      </c>
      <c r="B5" t="s">
        <v>674</v>
      </c>
      <c r="C5" s="312" t="s">
        <v>675</v>
      </c>
      <c r="D5" s="312" t="str">
        <f t="shared" si="0"/>
        <v>02</v>
      </c>
      <c r="E5" t="s">
        <v>676</v>
      </c>
      <c r="F5">
        <v>0</v>
      </c>
      <c r="G5">
        <v>8</v>
      </c>
      <c r="H5">
        <v>4</v>
      </c>
      <c r="I5">
        <v>0</v>
      </c>
      <c r="K5">
        <v>0</v>
      </c>
      <c r="L5">
        <v>12</v>
      </c>
      <c r="M5">
        <v>12</v>
      </c>
      <c r="N5">
        <v>0</v>
      </c>
      <c r="O5">
        <v>0.25</v>
      </c>
      <c r="P5">
        <v>0</v>
      </c>
      <c r="Q5">
        <v>0</v>
      </c>
      <c r="T5" t="s">
        <v>677</v>
      </c>
      <c r="U5">
        <f>COUNTIF($D$3:$D$27,3)</f>
        <v>9</v>
      </c>
      <c r="V5">
        <f>AVERAGE(L6:L7,L9,L12,L14)</f>
        <v>14.6</v>
      </c>
      <c r="W5">
        <f>AVERAGE(L8,L10:L11,L13)</f>
        <v>34.5</v>
      </c>
      <c r="X5">
        <f>52/4</f>
        <v>13</v>
      </c>
      <c r="Y5">
        <f>SUM(X5*5)</f>
        <v>65</v>
      </c>
      <c r="Z5">
        <f>SUM(X5*2)</f>
        <v>26</v>
      </c>
      <c r="AA5" t="s">
        <v>678</v>
      </c>
      <c r="AB5" s="344">
        <f>SUM(AVERAGE(Y5*AVERAGE(V5:V6)+SUM(Z5*AVERAGE(W5:W6))))</f>
        <v>2818.833333333333</v>
      </c>
    </row>
    <row r="6" spans="1:28" x14ac:dyDescent="0.35">
      <c r="A6" t="s">
        <v>656</v>
      </c>
      <c r="B6" t="s">
        <v>679</v>
      </c>
      <c r="C6" s="312" t="s">
        <v>680</v>
      </c>
      <c r="D6" s="312" t="str">
        <f t="shared" si="0"/>
        <v>03</v>
      </c>
      <c r="E6" t="s">
        <v>681</v>
      </c>
      <c r="F6">
        <v>3</v>
      </c>
      <c r="G6">
        <v>8</v>
      </c>
      <c r="H6">
        <v>0</v>
      </c>
      <c r="I6">
        <v>0</v>
      </c>
      <c r="K6">
        <v>0</v>
      </c>
      <c r="L6">
        <v>11</v>
      </c>
      <c r="M6">
        <v>11</v>
      </c>
      <c r="O6">
        <v>0.1</v>
      </c>
      <c r="P6">
        <v>0</v>
      </c>
      <c r="Q6">
        <v>0</v>
      </c>
      <c r="T6" t="s">
        <v>682</v>
      </c>
      <c r="U6">
        <f>COUNTIF($D$3:$D$27,4)</f>
        <v>5</v>
      </c>
      <c r="V6" s="178">
        <f>AVERAGE(L15,L17,L19)</f>
        <v>23.333333333333332</v>
      </c>
      <c r="W6">
        <f>AVERAGE(L16,L18)</f>
        <v>87.5</v>
      </c>
      <c r="X6">
        <f>52/4</f>
        <v>13</v>
      </c>
      <c r="Y6">
        <f>SUM(X6*5)</f>
        <v>65</v>
      </c>
      <c r="Z6">
        <f>SUM(X6*2)</f>
        <v>26</v>
      </c>
      <c r="AA6" t="s">
        <v>683</v>
      </c>
      <c r="AB6" s="28">
        <f>AB5</f>
        <v>2818.833333333333</v>
      </c>
    </row>
    <row r="7" spans="1:28" x14ac:dyDescent="0.35">
      <c r="A7" t="s">
        <v>684</v>
      </c>
      <c r="B7" t="s">
        <v>657</v>
      </c>
      <c r="C7" s="312" t="s">
        <v>685</v>
      </c>
      <c r="D7" s="312" t="str">
        <f t="shared" si="0"/>
        <v>03</v>
      </c>
      <c r="E7" t="s">
        <v>686</v>
      </c>
      <c r="F7">
        <v>0</v>
      </c>
      <c r="G7">
        <v>10</v>
      </c>
      <c r="H7">
        <v>2</v>
      </c>
      <c r="I7">
        <v>0</v>
      </c>
      <c r="J7" t="s">
        <v>687</v>
      </c>
      <c r="K7">
        <v>0</v>
      </c>
      <c r="L7">
        <v>5</v>
      </c>
      <c r="M7">
        <v>17</v>
      </c>
      <c r="O7">
        <v>1</v>
      </c>
      <c r="P7">
        <v>0</v>
      </c>
      <c r="Q7">
        <v>0</v>
      </c>
      <c r="T7" t="s">
        <v>688</v>
      </c>
      <c r="U7">
        <f>COUNTIF($D$3:$D$27,5)</f>
        <v>8</v>
      </c>
      <c r="V7">
        <f>AVERAGE(L20:L23,L25:L26)</f>
        <v>18</v>
      </c>
      <c r="W7">
        <f>AVERAGE(L27,L24)</f>
        <v>22.5</v>
      </c>
      <c r="X7">
        <f>52/4</f>
        <v>13</v>
      </c>
      <c r="Y7">
        <f>SUM(X7*5)</f>
        <v>65</v>
      </c>
      <c r="Z7">
        <f>SUM(X7*2)</f>
        <v>26</v>
      </c>
      <c r="AA7" t="s">
        <v>689</v>
      </c>
      <c r="AB7" s="28">
        <f>SUM(Y7*V7)+SUM(Z7*W7)</f>
        <v>1755</v>
      </c>
    </row>
    <row r="8" spans="1:28" x14ac:dyDescent="0.35">
      <c r="A8" t="s">
        <v>690</v>
      </c>
      <c r="B8" t="s">
        <v>674</v>
      </c>
      <c r="C8" s="312" t="s">
        <v>691</v>
      </c>
      <c r="D8" s="312" t="str">
        <f t="shared" si="0"/>
        <v>03</v>
      </c>
      <c r="E8" t="s">
        <v>692</v>
      </c>
      <c r="F8">
        <v>4</v>
      </c>
      <c r="G8">
        <v>9</v>
      </c>
      <c r="H8">
        <v>4</v>
      </c>
      <c r="I8">
        <v>0</v>
      </c>
      <c r="J8" t="s">
        <v>693</v>
      </c>
      <c r="K8">
        <v>0</v>
      </c>
      <c r="L8">
        <v>17</v>
      </c>
      <c r="M8">
        <v>16</v>
      </c>
      <c r="O8">
        <v>0.1</v>
      </c>
      <c r="P8">
        <v>0</v>
      </c>
      <c r="Q8">
        <v>0</v>
      </c>
      <c r="Z8">
        <f>SUM(Y4:Z7)</f>
        <v>364</v>
      </c>
      <c r="AB8" s="344">
        <f>SUM(AB4:AB7)</f>
        <v>8081.6666666666661</v>
      </c>
    </row>
    <row r="9" spans="1:28" x14ac:dyDescent="0.35">
      <c r="A9" t="s">
        <v>656</v>
      </c>
      <c r="B9" t="s">
        <v>679</v>
      </c>
      <c r="C9" s="312" t="s">
        <v>694</v>
      </c>
      <c r="D9" s="312" t="str">
        <f t="shared" si="0"/>
        <v>03</v>
      </c>
      <c r="E9" t="s">
        <v>695</v>
      </c>
      <c r="F9">
        <v>0</v>
      </c>
      <c r="G9">
        <v>4</v>
      </c>
      <c r="H9">
        <v>1</v>
      </c>
      <c r="I9">
        <v>0</v>
      </c>
      <c r="J9" t="s">
        <v>693</v>
      </c>
      <c r="K9">
        <v>0</v>
      </c>
      <c r="L9">
        <v>5</v>
      </c>
      <c r="M9">
        <v>5</v>
      </c>
      <c r="O9">
        <v>2</v>
      </c>
      <c r="P9">
        <v>0</v>
      </c>
      <c r="Q9">
        <v>0</v>
      </c>
      <c r="Y9" s="141"/>
      <c r="AB9" s="344"/>
    </row>
    <row r="10" spans="1:28" x14ac:dyDescent="0.35">
      <c r="A10" t="s">
        <v>673</v>
      </c>
      <c r="B10" t="s">
        <v>668</v>
      </c>
      <c r="C10" s="312" t="s">
        <v>696</v>
      </c>
      <c r="D10" s="312" t="str">
        <f t="shared" si="0"/>
        <v>03</v>
      </c>
      <c r="E10" t="s">
        <v>697</v>
      </c>
      <c r="F10">
        <v>0</v>
      </c>
      <c r="G10">
        <v>3</v>
      </c>
      <c r="H10">
        <v>2</v>
      </c>
      <c r="I10">
        <v>0</v>
      </c>
      <c r="J10" t="s">
        <v>693</v>
      </c>
      <c r="K10">
        <v>0</v>
      </c>
      <c r="L10">
        <v>5</v>
      </c>
      <c r="M10">
        <v>5</v>
      </c>
      <c r="N10">
        <v>0</v>
      </c>
      <c r="O10">
        <v>0</v>
      </c>
      <c r="P10">
        <v>0</v>
      </c>
      <c r="Q10">
        <v>0</v>
      </c>
      <c r="Y10" t="s">
        <v>698</v>
      </c>
    </row>
    <row r="11" spans="1:28" x14ac:dyDescent="0.35">
      <c r="A11" t="s">
        <v>699</v>
      </c>
      <c r="B11" t="s">
        <v>674</v>
      </c>
      <c r="C11" s="312" t="s">
        <v>700</v>
      </c>
      <c r="D11" s="312" t="str">
        <f t="shared" si="0"/>
        <v>03</v>
      </c>
      <c r="E11" t="s">
        <v>701</v>
      </c>
      <c r="F11">
        <v>2</v>
      </c>
      <c r="G11">
        <v>29</v>
      </c>
      <c r="H11">
        <v>8</v>
      </c>
      <c r="I11">
        <v>0</v>
      </c>
      <c r="J11" t="s">
        <v>693</v>
      </c>
      <c r="K11">
        <v>0</v>
      </c>
      <c r="L11">
        <v>39</v>
      </c>
      <c r="M11">
        <v>38</v>
      </c>
      <c r="N11">
        <v>0</v>
      </c>
      <c r="O11">
        <v>0</v>
      </c>
      <c r="P11">
        <v>0</v>
      </c>
      <c r="Q11">
        <v>0</v>
      </c>
    </row>
    <row r="12" spans="1:28" x14ac:dyDescent="0.35">
      <c r="A12" t="s">
        <v>702</v>
      </c>
      <c r="B12" t="s">
        <v>679</v>
      </c>
      <c r="C12" s="312" t="s">
        <v>703</v>
      </c>
      <c r="D12" s="312" t="str">
        <f t="shared" si="0"/>
        <v>03</v>
      </c>
      <c r="E12" t="s">
        <v>704</v>
      </c>
      <c r="F12">
        <v>0</v>
      </c>
      <c r="G12">
        <v>29</v>
      </c>
      <c r="H12">
        <v>2</v>
      </c>
      <c r="I12">
        <v>0</v>
      </c>
      <c r="J12" t="s">
        <v>693</v>
      </c>
      <c r="K12">
        <v>0</v>
      </c>
      <c r="L12">
        <v>31</v>
      </c>
      <c r="M12">
        <v>31</v>
      </c>
      <c r="Q12">
        <v>1</v>
      </c>
    </row>
    <row r="13" spans="1:28" x14ac:dyDescent="0.35">
      <c r="A13" t="s">
        <v>705</v>
      </c>
      <c r="B13" t="s">
        <v>674</v>
      </c>
      <c r="C13" s="312" t="s">
        <v>706</v>
      </c>
      <c r="D13" s="312" t="str">
        <f t="shared" si="0"/>
        <v>03</v>
      </c>
      <c r="E13" t="s">
        <v>707</v>
      </c>
      <c r="F13">
        <v>12</v>
      </c>
      <c r="G13">
        <v>59</v>
      </c>
      <c r="H13">
        <v>16</v>
      </c>
      <c r="I13">
        <v>0</v>
      </c>
      <c r="J13" t="s">
        <v>693</v>
      </c>
      <c r="K13">
        <v>0</v>
      </c>
      <c r="L13">
        <v>77</v>
      </c>
      <c r="M13">
        <v>70</v>
      </c>
      <c r="P13">
        <v>0</v>
      </c>
      <c r="Q13">
        <v>0</v>
      </c>
    </row>
    <row r="14" spans="1:28" x14ac:dyDescent="0.35">
      <c r="A14" t="s">
        <v>708</v>
      </c>
      <c r="B14" t="s">
        <v>679</v>
      </c>
      <c r="C14" s="312" t="s">
        <v>709</v>
      </c>
      <c r="D14" s="312" t="str">
        <f t="shared" si="0"/>
        <v>03</v>
      </c>
      <c r="E14" t="s">
        <v>710</v>
      </c>
      <c r="F14">
        <v>4</v>
      </c>
      <c r="G14">
        <v>17</v>
      </c>
      <c r="H14">
        <v>0</v>
      </c>
      <c r="I14">
        <v>0</v>
      </c>
      <c r="K14">
        <v>0</v>
      </c>
      <c r="L14">
        <v>21</v>
      </c>
      <c r="M14">
        <v>20</v>
      </c>
      <c r="P14">
        <v>0</v>
      </c>
      <c r="Q14">
        <v>1</v>
      </c>
    </row>
    <row r="15" spans="1:28" x14ac:dyDescent="0.35">
      <c r="A15" t="s">
        <v>711</v>
      </c>
      <c r="B15" t="s">
        <v>657</v>
      </c>
      <c r="C15" s="312" t="s">
        <v>712</v>
      </c>
      <c r="D15" s="312" t="str">
        <f t="shared" si="0"/>
        <v>04</v>
      </c>
      <c r="E15" t="s">
        <v>713</v>
      </c>
      <c r="F15">
        <v>0</v>
      </c>
      <c r="G15">
        <v>24</v>
      </c>
      <c r="H15">
        <v>4</v>
      </c>
      <c r="I15">
        <v>0</v>
      </c>
      <c r="K15">
        <v>0</v>
      </c>
      <c r="L15">
        <v>28</v>
      </c>
      <c r="M15">
        <v>27</v>
      </c>
      <c r="P15">
        <v>0</v>
      </c>
      <c r="Q15">
        <v>0</v>
      </c>
    </row>
    <row r="16" spans="1:28" x14ac:dyDescent="0.35">
      <c r="A16" t="s">
        <v>705</v>
      </c>
      <c r="B16" t="s">
        <v>674</v>
      </c>
      <c r="C16" s="312" t="s">
        <v>714</v>
      </c>
      <c r="D16" s="312" t="str">
        <f t="shared" si="0"/>
        <v>04</v>
      </c>
      <c r="E16" t="s">
        <v>715</v>
      </c>
      <c r="F16">
        <v>7</v>
      </c>
      <c r="G16">
        <v>62</v>
      </c>
      <c r="H16">
        <v>9</v>
      </c>
      <c r="I16">
        <v>0</v>
      </c>
      <c r="K16">
        <v>0</v>
      </c>
      <c r="L16">
        <v>78</v>
      </c>
      <c r="M16">
        <v>73</v>
      </c>
      <c r="P16">
        <v>0</v>
      </c>
      <c r="Q16">
        <v>4</v>
      </c>
    </row>
    <row r="17" spans="1:17" x14ac:dyDescent="0.35">
      <c r="A17" t="s">
        <v>702</v>
      </c>
      <c r="B17" t="s">
        <v>679</v>
      </c>
      <c r="C17" s="312" t="s">
        <v>716</v>
      </c>
      <c r="D17" s="312" t="str">
        <f t="shared" si="0"/>
        <v>04</v>
      </c>
      <c r="E17" t="s">
        <v>717</v>
      </c>
      <c r="F17">
        <v>0</v>
      </c>
      <c r="G17">
        <v>16</v>
      </c>
      <c r="H17">
        <v>5</v>
      </c>
      <c r="I17">
        <v>0</v>
      </c>
      <c r="K17">
        <v>0</v>
      </c>
      <c r="L17">
        <v>21</v>
      </c>
      <c r="M17">
        <v>20</v>
      </c>
      <c r="P17">
        <v>0</v>
      </c>
      <c r="Q17">
        <v>2</v>
      </c>
    </row>
    <row r="18" spans="1:17" x14ac:dyDescent="0.35">
      <c r="A18" t="s">
        <v>718</v>
      </c>
      <c r="B18" t="s">
        <v>674</v>
      </c>
      <c r="C18" s="312" t="s">
        <v>719</v>
      </c>
      <c r="D18" s="312" t="str">
        <f t="shared" si="0"/>
        <v>04</v>
      </c>
      <c r="E18" t="s">
        <v>720</v>
      </c>
      <c r="F18">
        <v>3</v>
      </c>
      <c r="G18">
        <v>88</v>
      </c>
      <c r="H18">
        <v>6</v>
      </c>
      <c r="I18">
        <v>0</v>
      </c>
      <c r="K18">
        <v>0</v>
      </c>
      <c r="L18">
        <v>97</v>
      </c>
      <c r="M18">
        <v>83</v>
      </c>
      <c r="P18">
        <v>0</v>
      </c>
      <c r="Q18">
        <v>1</v>
      </c>
    </row>
    <row r="19" spans="1:17" x14ac:dyDescent="0.35">
      <c r="A19" t="s">
        <v>702</v>
      </c>
      <c r="B19" t="s">
        <v>679</v>
      </c>
      <c r="C19" s="312" t="s">
        <v>721</v>
      </c>
      <c r="D19" s="312" t="str">
        <f t="shared" si="0"/>
        <v>04</v>
      </c>
      <c r="E19" t="s">
        <v>722</v>
      </c>
      <c r="F19">
        <v>0</v>
      </c>
      <c r="G19">
        <v>15</v>
      </c>
      <c r="H19">
        <v>6</v>
      </c>
      <c r="I19">
        <v>0</v>
      </c>
      <c r="K19">
        <v>0</v>
      </c>
      <c r="L19">
        <v>21</v>
      </c>
      <c r="M19">
        <v>18</v>
      </c>
      <c r="P19">
        <v>0</v>
      </c>
      <c r="Q19">
        <v>0</v>
      </c>
    </row>
    <row r="20" spans="1:17" x14ac:dyDescent="0.35">
      <c r="A20" t="s">
        <v>711</v>
      </c>
      <c r="B20" t="s">
        <v>723</v>
      </c>
      <c r="C20" s="312" t="s">
        <v>724</v>
      </c>
      <c r="D20" s="312" t="str">
        <f t="shared" si="0"/>
        <v>05</v>
      </c>
      <c r="E20" t="s">
        <v>725</v>
      </c>
      <c r="F20">
        <v>0</v>
      </c>
      <c r="G20">
        <v>7</v>
      </c>
      <c r="H20">
        <v>9</v>
      </c>
      <c r="I20">
        <v>0</v>
      </c>
      <c r="K20">
        <v>0</v>
      </c>
      <c r="L20">
        <v>16</v>
      </c>
      <c r="M20">
        <v>13</v>
      </c>
      <c r="P20">
        <v>0</v>
      </c>
      <c r="Q20">
        <v>0</v>
      </c>
    </row>
    <row r="21" spans="1:17" x14ac:dyDescent="0.35">
      <c r="A21" t="s">
        <v>726</v>
      </c>
      <c r="B21" t="s">
        <v>679</v>
      </c>
      <c r="C21" s="312" t="s">
        <v>727</v>
      </c>
      <c r="D21" s="312" t="str">
        <f t="shared" si="0"/>
        <v>05</v>
      </c>
      <c r="E21" t="s">
        <v>728</v>
      </c>
      <c r="F21">
        <v>1</v>
      </c>
      <c r="G21">
        <v>13</v>
      </c>
      <c r="H21">
        <v>10</v>
      </c>
      <c r="I21">
        <v>0</v>
      </c>
      <c r="K21">
        <v>0</v>
      </c>
      <c r="L21">
        <v>24</v>
      </c>
      <c r="M21">
        <v>9</v>
      </c>
      <c r="P21">
        <v>0</v>
      </c>
      <c r="Q21">
        <v>0</v>
      </c>
    </row>
    <row r="22" spans="1:17" x14ac:dyDescent="0.35">
      <c r="A22" t="s">
        <v>729</v>
      </c>
      <c r="B22" t="s">
        <v>657</v>
      </c>
      <c r="C22" s="312" t="s">
        <v>730</v>
      </c>
      <c r="D22" s="312" t="str">
        <f t="shared" si="0"/>
        <v>05</v>
      </c>
      <c r="E22" t="s">
        <v>731</v>
      </c>
      <c r="F22">
        <v>2</v>
      </c>
      <c r="G22">
        <v>8</v>
      </c>
      <c r="H22">
        <v>21</v>
      </c>
      <c r="I22">
        <v>0</v>
      </c>
      <c r="J22" t="s">
        <v>693</v>
      </c>
      <c r="L22">
        <v>31</v>
      </c>
      <c r="M22">
        <v>27</v>
      </c>
      <c r="P22">
        <v>0</v>
      </c>
      <c r="Q22">
        <v>0</v>
      </c>
    </row>
    <row r="23" spans="1:17" x14ac:dyDescent="0.35">
      <c r="A23" t="s">
        <v>702</v>
      </c>
      <c r="B23" t="s">
        <v>679</v>
      </c>
      <c r="C23" s="312" t="s">
        <v>732</v>
      </c>
      <c r="D23" s="312" t="str">
        <f t="shared" si="0"/>
        <v>05</v>
      </c>
      <c r="E23" t="s">
        <v>733</v>
      </c>
      <c r="F23">
        <v>0</v>
      </c>
      <c r="G23">
        <v>0</v>
      </c>
      <c r="H23">
        <v>12</v>
      </c>
      <c r="I23">
        <v>0</v>
      </c>
      <c r="K23">
        <v>0</v>
      </c>
      <c r="L23">
        <v>12</v>
      </c>
      <c r="M23">
        <v>11</v>
      </c>
      <c r="N23">
        <v>1</v>
      </c>
      <c r="O23">
        <v>1</v>
      </c>
      <c r="P23">
        <v>0</v>
      </c>
      <c r="Q23">
        <v>0</v>
      </c>
    </row>
    <row r="24" spans="1:17" x14ac:dyDescent="0.35">
      <c r="A24" t="s">
        <v>734</v>
      </c>
      <c r="B24" t="s">
        <v>674</v>
      </c>
      <c r="C24" s="312" t="s">
        <v>735</v>
      </c>
      <c r="D24" s="312" t="str">
        <f t="shared" si="0"/>
        <v>05</v>
      </c>
      <c r="E24" t="s">
        <v>736</v>
      </c>
      <c r="F24">
        <v>0</v>
      </c>
      <c r="G24">
        <v>10</v>
      </c>
      <c r="H24">
        <v>12</v>
      </c>
      <c r="I24">
        <v>0</v>
      </c>
      <c r="L24">
        <v>22</v>
      </c>
      <c r="M24">
        <v>20</v>
      </c>
      <c r="N24">
        <v>0</v>
      </c>
      <c r="O24">
        <v>0</v>
      </c>
      <c r="P24">
        <v>0</v>
      </c>
      <c r="Q24">
        <v>1</v>
      </c>
    </row>
    <row r="25" spans="1:17" x14ac:dyDescent="0.35">
      <c r="A25" t="s">
        <v>737</v>
      </c>
      <c r="B25" t="s">
        <v>679</v>
      </c>
      <c r="C25" s="312" t="s">
        <v>738</v>
      </c>
      <c r="D25" s="312" t="str">
        <f t="shared" si="0"/>
        <v>05</v>
      </c>
      <c r="E25" t="s">
        <v>739</v>
      </c>
      <c r="F25">
        <v>0</v>
      </c>
      <c r="G25">
        <v>6</v>
      </c>
      <c r="H25">
        <v>8</v>
      </c>
      <c r="I25">
        <v>0</v>
      </c>
      <c r="L25">
        <v>14</v>
      </c>
      <c r="M25">
        <v>12</v>
      </c>
      <c r="N25">
        <v>30</v>
      </c>
      <c r="O25">
        <v>35</v>
      </c>
      <c r="P25">
        <v>0</v>
      </c>
      <c r="Q25">
        <v>0</v>
      </c>
    </row>
    <row r="26" spans="1:17" x14ac:dyDescent="0.35">
      <c r="A26" t="s">
        <v>702</v>
      </c>
      <c r="B26" t="s">
        <v>657</v>
      </c>
      <c r="C26" s="312" t="s">
        <v>740</v>
      </c>
      <c r="D26" s="312" t="str">
        <f t="shared" si="0"/>
        <v>05</v>
      </c>
      <c r="E26" t="s">
        <v>741</v>
      </c>
      <c r="F26">
        <v>0</v>
      </c>
      <c r="G26">
        <v>0</v>
      </c>
      <c r="H26">
        <v>11</v>
      </c>
      <c r="I26">
        <v>0</v>
      </c>
      <c r="L26">
        <v>11</v>
      </c>
      <c r="M26">
        <v>10</v>
      </c>
      <c r="N26">
        <v>0</v>
      </c>
      <c r="O26">
        <v>0</v>
      </c>
      <c r="P26">
        <v>0</v>
      </c>
      <c r="Q26">
        <v>0</v>
      </c>
    </row>
    <row r="27" spans="1:17" x14ac:dyDescent="0.35">
      <c r="A27" t="s">
        <v>734</v>
      </c>
      <c r="B27" t="s">
        <v>674</v>
      </c>
      <c r="C27" s="312" t="s">
        <v>742</v>
      </c>
      <c r="D27" s="312" t="str">
        <f t="shared" si="0"/>
        <v>05</v>
      </c>
      <c r="E27" t="s">
        <v>743</v>
      </c>
      <c r="F27">
        <v>5</v>
      </c>
      <c r="G27">
        <v>5</v>
      </c>
      <c r="H27">
        <v>13</v>
      </c>
      <c r="I27">
        <v>0</v>
      </c>
      <c r="L27">
        <v>23</v>
      </c>
      <c r="M27">
        <v>18</v>
      </c>
      <c r="N27">
        <v>0</v>
      </c>
      <c r="O27">
        <v>0</v>
      </c>
      <c r="P27">
        <v>0</v>
      </c>
      <c r="Q27">
        <v>0</v>
      </c>
    </row>
    <row r="28" spans="1:17" x14ac:dyDescent="0.35">
      <c r="E28" s="35" t="s">
        <v>176</v>
      </c>
      <c r="F28">
        <f>SUM(F3:F27)</f>
        <v>51</v>
      </c>
      <c r="G28">
        <f>SUM(G3:G27)</f>
        <v>439</v>
      </c>
      <c r="H28">
        <f>SUM(H3:H27)</f>
        <v>169</v>
      </c>
      <c r="I28">
        <f>SUM(I3:I27)</f>
        <v>0</v>
      </c>
      <c r="L28">
        <f>SUM(L3:L27)</f>
        <v>642</v>
      </c>
      <c r="M28">
        <f>SUM(M3:M27)</f>
        <v>587</v>
      </c>
    </row>
    <row r="29" spans="1:17" x14ac:dyDescent="0.35">
      <c r="E29" t="s">
        <v>744</v>
      </c>
      <c r="F29">
        <f>AVERAGE(F3:F27)</f>
        <v>2.04</v>
      </c>
      <c r="G29">
        <f>AVERAGE(G3:G27)</f>
        <v>17.559999999999999</v>
      </c>
      <c r="H29">
        <f>AVERAGE(H3:H27)</f>
        <v>6.76</v>
      </c>
      <c r="I29">
        <f>AVERAGE(I3:I27)</f>
        <v>0</v>
      </c>
      <c r="L29">
        <f>AVERAGE(L3:L27)</f>
        <v>25.68</v>
      </c>
      <c r="M29">
        <f>AVERAGE(M3:M27)</f>
        <v>23.48</v>
      </c>
    </row>
  </sheetData>
  <sheetProtection algorithmName="SHA-512" hashValue="i5KQVFAUo3Lvo5DWv2xeF+vZ9yJHkqQbaaAKytQCkWY4OR4K5kuo3cHashVWME6AGAScfRb7sVc007Ku/rq57Q==" saltValue="RTmgKUZe7nny/HAZuIff+A==" spinCount="100000" sheet="1" objects="1" scenarios="1"/>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69AB2-1448-4351-84E6-E9E762AFC7EA}">
  <sheetPr>
    <tabColor rgb="FFCDE0FF"/>
  </sheetPr>
  <dimension ref="A1:S200"/>
  <sheetViews>
    <sheetView topLeftCell="A82" workbookViewId="0">
      <selection activeCell="E12" sqref="E12"/>
    </sheetView>
  </sheetViews>
  <sheetFormatPr defaultRowHeight="14.5" x14ac:dyDescent="0.35"/>
  <sheetData>
    <row r="1" spans="1:19" x14ac:dyDescent="0.35">
      <c r="A1" s="60"/>
      <c r="B1" s="60"/>
      <c r="C1" s="60"/>
      <c r="D1" s="60"/>
      <c r="E1" s="60"/>
      <c r="F1" s="60"/>
      <c r="G1" s="60"/>
      <c r="H1" s="60"/>
      <c r="I1" s="60"/>
      <c r="J1" s="60"/>
      <c r="K1" s="60"/>
      <c r="L1" s="88" t="s">
        <v>745</v>
      </c>
      <c r="M1" s="88"/>
      <c r="N1" s="88"/>
      <c r="O1" s="88"/>
      <c r="P1" s="88"/>
      <c r="Q1" s="88"/>
      <c r="R1" s="60"/>
      <c r="S1" s="60"/>
    </row>
    <row r="2" spans="1:19" x14ac:dyDescent="0.35">
      <c r="A2" s="417"/>
      <c r="B2" s="418" t="s">
        <v>746</v>
      </c>
      <c r="C2" s="418"/>
      <c r="D2" s="418"/>
      <c r="E2" s="419">
        <v>8887</v>
      </c>
      <c r="F2" s="419"/>
      <c r="G2" s="419" t="s">
        <v>747</v>
      </c>
      <c r="H2" s="417"/>
      <c r="I2" s="417"/>
      <c r="J2" s="417"/>
      <c r="K2" s="417"/>
      <c r="L2" s="420" t="s">
        <v>748</v>
      </c>
      <c r="M2" s="420"/>
      <c r="N2" s="420"/>
      <c r="O2" s="420"/>
      <c r="P2" s="420"/>
      <c r="Q2" s="420"/>
      <c r="R2" s="115" t="s">
        <v>749</v>
      </c>
      <c r="S2" s="60"/>
    </row>
    <row r="3" spans="1:19" x14ac:dyDescent="0.35">
      <c r="A3" s="417"/>
      <c r="B3" s="418"/>
      <c r="C3" s="418"/>
      <c r="D3" s="418"/>
      <c r="E3" s="419"/>
      <c r="F3" s="419"/>
      <c r="G3" s="419"/>
      <c r="H3" s="417"/>
      <c r="I3" s="417"/>
      <c r="J3" s="417"/>
      <c r="K3" s="417"/>
      <c r="L3" s="420" t="s">
        <v>750</v>
      </c>
      <c r="M3" s="420"/>
      <c r="N3" s="420"/>
      <c r="O3" s="420"/>
      <c r="P3" s="420"/>
      <c r="Q3" s="420"/>
      <c r="R3" s="115"/>
      <c r="S3" s="60"/>
    </row>
    <row r="4" spans="1:19" ht="30" customHeight="1" x14ac:dyDescent="0.35">
      <c r="A4" s="60"/>
      <c r="B4" s="418" t="s">
        <v>751</v>
      </c>
      <c r="C4" s="418"/>
      <c r="D4" s="418"/>
      <c r="E4" s="87">
        <v>1000000</v>
      </c>
      <c r="F4" s="88"/>
      <c r="G4" s="88" t="s">
        <v>752</v>
      </c>
      <c r="H4" s="60"/>
      <c r="I4" s="75"/>
      <c r="J4" s="60"/>
      <c r="K4" s="60"/>
      <c r="L4" s="88" t="s">
        <v>753</v>
      </c>
      <c r="M4" s="88"/>
      <c r="N4" s="88"/>
      <c r="O4" s="88"/>
      <c r="P4" s="88"/>
      <c r="Q4" s="88"/>
      <c r="R4" s="60"/>
      <c r="S4" s="60"/>
    </row>
    <row r="5" spans="1:19" x14ac:dyDescent="0.35">
      <c r="A5" s="60"/>
      <c r="B5" s="60"/>
      <c r="C5" s="60"/>
      <c r="D5" s="60"/>
      <c r="E5" s="60"/>
      <c r="F5" s="60"/>
      <c r="G5" s="60"/>
      <c r="H5" s="60"/>
      <c r="I5" s="60"/>
      <c r="J5" s="60"/>
      <c r="K5" s="60"/>
      <c r="L5" s="88"/>
      <c r="M5" s="88" t="s">
        <v>754</v>
      </c>
      <c r="N5" s="88"/>
      <c r="O5" s="88"/>
      <c r="P5" s="88"/>
      <c r="Q5" s="88"/>
      <c r="R5" s="60"/>
      <c r="S5" s="60"/>
    </row>
    <row r="6" spans="1:19" ht="27.75" customHeight="1" x14ac:dyDescent="0.35">
      <c r="A6" s="60"/>
      <c r="B6" s="60"/>
      <c r="C6" s="60"/>
      <c r="D6" s="60"/>
      <c r="E6" s="60"/>
      <c r="F6" s="60"/>
      <c r="G6" s="427" t="s">
        <v>755</v>
      </c>
      <c r="H6" s="427"/>
      <c r="I6" s="427"/>
      <c r="J6" s="427"/>
      <c r="K6" s="60"/>
      <c r="L6" s="88"/>
      <c r="M6" s="88" t="s">
        <v>756</v>
      </c>
      <c r="N6" s="88"/>
      <c r="O6" s="88"/>
      <c r="P6" s="88"/>
      <c r="Q6" s="88"/>
      <c r="R6" s="60"/>
      <c r="S6" s="60"/>
    </row>
    <row r="7" spans="1:19" x14ac:dyDescent="0.35">
      <c r="A7" s="60"/>
      <c r="B7" s="60"/>
      <c r="C7" s="60"/>
      <c r="D7" s="60"/>
      <c r="E7" s="60"/>
      <c r="F7" s="76" t="s">
        <v>145</v>
      </c>
      <c r="G7" s="207" t="s">
        <v>757</v>
      </c>
      <c r="H7" s="77" t="s">
        <v>758</v>
      </c>
      <c r="I7" s="77" t="s">
        <v>759</v>
      </c>
      <c r="J7" s="77" t="s">
        <v>760</v>
      </c>
      <c r="K7" s="60"/>
      <c r="L7" s="88"/>
      <c r="M7" s="88" t="s">
        <v>761</v>
      </c>
      <c r="N7" s="88"/>
      <c r="O7" s="88"/>
      <c r="P7" s="88"/>
      <c r="Q7" s="88"/>
      <c r="R7" s="60"/>
      <c r="S7" s="60"/>
    </row>
    <row r="8" spans="1:19" x14ac:dyDescent="0.35">
      <c r="A8" s="60"/>
      <c r="B8" s="75"/>
      <c r="C8" s="60"/>
      <c r="D8" s="60"/>
      <c r="E8" s="421" t="s">
        <v>762</v>
      </c>
      <c r="F8" s="78">
        <v>2014</v>
      </c>
      <c r="G8" s="79">
        <v>328.45</v>
      </c>
      <c r="H8" s="79">
        <v>1.6999999999999999E-3</v>
      </c>
      <c r="I8" s="79">
        <v>0.1719</v>
      </c>
      <c r="J8" s="79">
        <v>3.3E-3</v>
      </c>
      <c r="K8" s="60"/>
      <c r="L8" s="88"/>
      <c r="M8" s="88" t="s">
        <v>763</v>
      </c>
      <c r="N8" s="88"/>
      <c r="O8" s="88"/>
      <c r="P8" s="88"/>
      <c r="Q8" s="88"/>
      <c r="R8" s="60"/>
      <c r="S8" s="60"/>
    </row>
    <row r="9" spans="1:19" x14ac:dyDescent="0.35">
      <c r="A9" s="60"/>
      <c r="B9" s="60"/>
      <c r="C9" s="60"/>
      <c r="D9" s="60"/>
      <c r="E9" s="422"/>
      <c r="F9" s="78">
        <v>2015</v>
      </c>
      <c r="G9" s="79">
        <v>324.68</v>
      </c>
      <c r="H9" s="79">
        <v>1.6000000000000001E-3</v>
      </c>
      <c r="I9" s="79">
        <v>0.14560000000000001</v>
      </c>
      <c r="J9" s="79">
        <v>3.2000000000000002E-3</v>
      </c>
      <c r="K9" s="60"/>
      <c r="L9" s="88"/>
      <c r="M9" s="88" t="s">
        <v>764</v>
      </c>
      <c r="N9" s="88"/>
      <c r="O9" s="88" t="s">
        <v>765</v>
      </c>
      <c r="P9" s="88"/>
      <c r="Q9" s="88"/>
      <c r="R9" s="60"/>
      <c r="S9" s="60"/>
    </row>
    <row r="10" spans="1:19" x14ac:dyDescent="0.35">
      <c r="A10" s="60"/>
      <c r="B10" s="60"/>
      <c r="C10" s="60"/>
      <c r="D10" s="60"/>
      <c r="E10" s="422"/>
      <c r="F10" s="78">
        <v>2016</v>
      </c>
      <c r="G10" s="79">
        <v>319.39</v>
      </c>
      <c r="H10" s="79">
        <v>1.6000000000000001E-3</v>
      </c>
      <c r="I10" s="79">
        <v>0.124</v>
      </c>
      <c r="J10" s="79">
        <v>3.2000000000000002E-3</v>
      </c>
      <c r="K10" s="60"/>
      <c r="L10" s="88"/>
      <c r="M10" s="88" t="s">
        <v>766</v>
      </c>
      <c r="N10" s="88"/>
      <c r="O10" s="88"/>
      <c r="P10" s="88"/>
      <c r="Q10" s="88"/>
      <c r="R10" s="60"/>
      <c r="S10" s="60"/>
    </row>
    <row r="11" spans="1:19" x14ac:dyDescent="0.35">
      <c r="A11" s="60"/>
      <c r="B11" s="60"/>
      <c r="C11" s="60"/>
      <c r="D11" s="60"/>
      <c r="E11" s="422"/>
      <c r="F11" s="78">
        <v>2017</v>
      </c>
      <c r="G11" s="79">
        <v>314.83</v>
      </c>
      <c r="H11" s="79">
        <v>1.5E-3</v>
      </c>
      <c r="I11" s="79">
        <v>0.10349999999999999</v>
      </c>
      <c r="J11" s="79">
        <v>3.0999999999999999E-3</v>
      </c>
      <c r="K11" s="60"/>
      <c r="L11" s="88"/>
      <c r="M11" s="88" t="s">
        <v>767</v>
      </c>
      <c r="N11" s="88"/>
      <c r="O11" s="88"/>
      <c r="P11" s="88"/>
      <c r="Q11" s="88"/>
      <c r="R11" s="60"/>
      <c r="S11" s="60"/>
    </row>
    <row r="12" spans="1:19" x14ac:dyDescent="0.35">
      <c r="A12" s="60"/>
      <c r="B12" s="60"/>
      <c r="C12" s="60"/>
      <c r="D12" s="60"/>
      <c r="E12" s="422"/>
      <c r="F12" s="78">
        <v>2018</v>
      </c>
      <c r="G12" s="79">
        <v>310.68</v>
      </c>
      <c r="H12" s="79">
        <v>1.5E-3</v>
      </c>
      <c r="I12" s="79">
        <v>8.9399999999999993E-2</v>
      </c>
      <c r="J12" s="79">
        <v>3.0999999999999999E-3</v>
      </c>
      <c r="K12" s="60"/>
      <c r="L12" s="88"/>
      <c r="M12" s="88" t="s">
        <v>768</v>
      </c>
      <c r="N12" s="88"/>
      <c r="O12" s="88"/>
      <c r="P12" s="88"/>
      <c r="Q12" s="88"/>
      <c r="R12" s="60"/>
      <c r="S12" s="60"/>
    </row>
    <row r="13" spans="1:19" x14ac:dyDescent="0.35">
      <c r="A13" s="60"/>
      <c r="B13" s="60"/>
      <c r="C13" s="60"/>
      <c r="D13" s="60"/>
      <c r="E13" s="422"/>
      <c r="F13" s="78">
        <v>2019</v>
      </c>
      <c r="G13" s="79">
        <v>307.57</v>
      </c>
      <c r="H13" s="79">
        <v>1.5E-3</v>
      </c>
      <c r="I13" s="79">
        <v>7.7499999999999999E-2</v>
      </c>
      <c r="J13" s="79">
        <v>3.0000000000000001E-3</v>
      </c>
      <c r="K13" s="60"/>
      <c r="L13" s="88"/>
      <c r="M13" s="88" t="s">
        <v>769</v>
      </c>
      <c r="N13" s="88"/>
      <c r="O13" s="88"/>
      <c r="P13" s="88"/>
      <c r="Q13" s="88"/>
      <c r="R13" s="60"/>
      <c r="S13" s="60"/>
    </row>
    <row r="14" spans="1:19" x14ac:dyDescent="0.35">
      <c r="A14" s="60"/>
      <c r="B14" s="60"/>
      <c r="C14" s="60"/>
      <c r="D14" s="60"/>
      <c r="E14" s="422"/>
      <c r="F14" s="78">
        <v>2020</v>
      </c>
      <c r="G14" s="79">
        <v>304.7</v>
      </c>
      <c r="H14" s="79">
        <v>1.5E-3</v>
      </c>
      <c r="I14" s="79">
        <v>6.8900000000000003E-2</v>
      </c>
      <c r="J14" s="79">
        <v>3.0000000000000001E-3</v>
      </c>
      <c r="K14" s="60"/>
      <c r="L14" s="60"/>
      <c r="M14" s="60"/>
      <c r="N14" s="60"/>
      <c r="O14" s="60"/>
      <c r="P14" s="60"/>
      <c r="Q14" s="60"/>
      <c r="R14" s="60"/>
      <c r="S14" s="60"/>
    </row>
    <row r="15" spans="1:19" x14ac:dyDescent="0.35">
      <c r="A15" s="60"/>
      <c r="B15" s="60"/>
      <c r="C15" s="60"/>
      <c r="D15" s="60"/>
      <c r="E15" s="422"/>
      <c r="F15" s="78">
        <v>2021</v>
      </c>
      <c r="G15" s="79">
        <v>300.97000000000003</v>
      </c>
      <c r="H15" s="79">
        <v>1.4E-3</v>
      </c>
      <c r="I15" s="79">
        <v>6.0999999999999999E-2</v>
      </c>
      <c r="J15" s="79">
        <v>3.0000000000000001E-3</v>
      </c>
      <c r="K15" s="60"/>
      <c r="L15" s="60"/>
      <c r="M15" s="60"/>
      <c r="N15" s="60"/>
      <c r="O15" s="60"/>
      <c r="P15" s="60"/>
      <c r="Q15" s="60"/>
      <c r="R15" s="60"/>
      <c r="S15" s="60"/>
    </row>
    <row r="16" spans="1:19" x14ac:dyDescent="0.35">
      <c r="A16" s="60"/>
      <c r="B16" s="60"/>
      <c r="C16" s="60"/>
      <c r="D16" s="60"/>
      <c r="E16" s="423"/>
      <c r="F16" s="78">
        <v>2022</v>
      </c>
      <c r="G16" s="79">
        <v>296.58999999999997</v>
      </c>
      <c r="H16" s="79">
        <v>1.4E-3</v>
      </c>
      <c r="I16" s="79">
        <v>5.3999999999999999E-2</v>
      </c>
      <c r="J16" s="79">
        <v>2.8999999999999998E-3</v>
      </c>
      <c r="K16" s="60"/>
      <c r="L16" s="60"/>
      <c r="M16" s="60"/>
      <c r="N16" s="60"/>
      <c r="O16" s="60"/>
      <c r="P16" s="60"/>
      <c r="Q16" s="60"/>
      <c r="R16" s="60"/>
      <c r="S16" s="60"/>
    </row>
    <row r="17" spans="1:19" x14ac:dyDescent="0.35">
      <c r="A17" s="60"/>
      <c r="B17" s="60"/>
      <c r="C17" s="60"/>
      <c r="D17" s="60"/>
      <c r="E17" s="424" t="s">
        <v>770</v>
      </c>
      <c r="F17" s="208">
        <v>2023</v>
      </c>
      <c r="G17" s="80">
        <v>291.94</v>
      </c>
      <c r="H17" s="81">
        <v>1.2999999999999999E-3</v>
      </c>
      <c r="I17" s="81">
        <v>4.8099999999999997E-2</v>
      </c>
      <c r="J17" s="81">
        <v>2.8861400000000001E-3</v>
      </c>
      <c r="K17" s="60"/>
      <c r="L17" s="60"/>
      <c r="M17" s="60"/>
      <c r="N17" s="60"/>
      <c r="O17" s="60"/>
      <c r="P17" s="60"/>
      <c r="Q17" s="60"/>
      <c r="R17" s="60"/>
      <c r="S17" s="60"/>
    </row>
    <row r="18" spans="1:19" x14ac:dyDescent="0.35">
      <c r="A18" s="60"/>
      <c r="B18" s="60"/>
      <c r="C18" s="60"/>
      <c r="D18" s="60"/>
      <c r="E18" s="425"/>
      <c r="F18" s="208">
        <v>2024</v>
      </c>
      <c r="G18" s="80">
        <v>287.07</v>
      </c>
      <c r="H18" s="81">
        <v>1.2999999999999999E-3</v>
      </c>
      <c r="I18" s="81">
        <v>4.3200000000000002E-2</v>
      </c>
      <c r="J18" s="81">
        <v>2.8380160000000001E-3</v>
      </c>
      <c r="K18" s="60"/>
      <c r="L18" s="60"/>
      <c r="M18" s="60"/>
      <c r="N18" s="60"/>
      <c r="O18" s="60"/>
      <c r="P18" s="60"/>
      <c r="Q18" s="60"/>
      <c r="R18" s="60"/>
      <c r="S18" s="60"/>
    </row>
    <row r="19" spans="1:19" x14ac:dyDescent="0.35">
      <c r="A19" s="60"/>
      <c r="B19" s="60"/>
      <c r="C19" s="60"/>
      <c r="D19" s="60"/>
      <c r="E19" s="425"/>
      <c r="F19" s="208">
        <v>2025</v>
      </c>
      <c r="G19" s="80">
        <v>282.25</v>
      </c>
      <c r="H19" s="81">
        <v>1.1999999999999999E-3</v>
      </c>
      <c r="I19" s="81">
        <v>3.9199999999999999E-2</v>
      </c>
      <c r="J19" s="81">
        <v>2.790341E-3</v>
      </c>
      <c r="K19" s="60"/>
      <c r="L19" s="60"/>
      <c r="M19" s="60"/>
      <c r="N19" s="60"/>
      <c r="O19" s="60"/>
      <c r="P19" s="60"/>
      <c r="Q19" s="60"/>
      <c r="R19" s="60"/>
      <c r="S19" s="60"/>
    </row>
    <row r="20" spans="1:19" x14ac:dyDescent="0.35">
      <c r="A20" s="60"/>
      <c r="B20" s="60"/>
      <c r="C20" s="60"/>
      <c r="D20" s="60"/>
      <c r="E20" s="425"/>
      <c r="F20" s="208">
        <v>2026</v>
      </c>
      <c r="G20" s="80">
        <v>277.26</v>
      </c>
      <c r="H20" s="81">
        <v>1.1999999999999999E-3</v>
      </c>
      <c r="I20" s="81">
        <v>3.5999999999999997E-2</v>
      </c>
      <c r="J20" s="81">
        <v>2.7410049999999999E-3</v>
      </c>
      <c r="K20" s="60"/>
      <c r="L20" s="60"/>
      <c r="M20" s="60"/>
      <c r="N20" s="60"/>
      <c r="O20" s="60"/>
      <c r="P20" s="60"/>
      <c r="Q20" s="60"/>
      <c r="R20" s="60"/>
      <c r="S20" s="60"/>
    </row>
    <row r="21" spans="1:19" x14ac:dyDescent="0.35">
      <c r="A21" s="60"/>
      <c r="B21" s="60"/>
      <c r="C21" s="60"/>
      <c r="D21" s="60"/>
      <c r="E21" s="425"/>
      <c r="F21" s="208">
        <v>2027</v>
      </c>
      <c r="G21" s="80">
        <v>272.79000000000002</v>
      </c>
      <c r="H21" s="81">
        <v>1.1999999999999999E-3</v>
      </c>
      <c r="I21" s="81">
        <v>3.3399999999999999E-2</v>
      </c>
      <c r="J21" s="81">
        <v>2.6968019999999999E-3</v>
      </c>
      <c r="K21" s="60"/>
      <c r="L21" s="60"/>
      <c r="M21" s="60"/>
      <c r="N21" s="60"/>
      <c r="O21" s="60"/>
      <c r="P21" s="60"/>
      <c r="Q21" s="60"/>
      <c r="R21" s="60"/>
      <c r="S21" s="60"/>
    </row>
    <row r="22" spans="1:19" x14ac:dyDescent="0.35">
      <c r="A22" s="60"/>
      <c r="B22" s="60"/>
      <c r="C22" s="60"/>
      <c r="D22" s="60"/>
      <c r="E22" s="425"/>
      <c r="F22" s="208">
        <v>2028</v>
      </c>
      <c r="G22" s="80">
        <v>268.51</v>
      </c>
      <c r="H22" s="81">
        <v>1.1000000000000001E-3</v>
      </c>
      <c r="I22" s="81">
        <v>3.1300000000000001E-2</v>
      </c>
      <c r="J22" s="81">
        <v>2.654497E-3</v>
      </c>
      <c r="K22" s="60"/>
      <c r="L22" s="60"/>
      <c r="M22" s="60"/>
      <c r="N22" s="60"/>
      <c r="O22" s="60"/>
      <c r="P22" s="60"/>
      <c r="Q22" s="60"/>
      <c r="R22" s="60"/>
      <c r="S22" s="60"/>
    </row>
    <row r="23" spans="1:19" x14ac:dyDescent="0.35">
      <c r="A23" s="60"/>
      <c r="B23" s="60"/>
      <c r="C23" s="60"/>
      <c r="D23" s="60"/>
      <c r="E23" s="425"/>
      <c r="F23" s="208">
        <v>2029</v>
      </c>
      <c r="G23" s="80">
        <v>264.64999999999998</v>
      </c>
      <c r="H23" s="81">
        <v>1E-3</v>
      </c>
      <c r="I23" s="81">
        <v>2.9499999999999998E-2</v>
      </c>
      <c r="J23" s="81">
        <v>2.6162899999999998E-3</v>
      </c>
      <c r="K23" s="60"/>
      <c r="L23" s="60"/>
      <c r="M23" s="60"/>
      <c r="N23" s="60"/>
      <c r="O23" s="60"/>
      <c r="P23" s="60"/>
      <c r="Q23" s="60"/>
      <c r="R23" s="60"/>
      <c r="S23" s="60"/>
    </row>
    <row r="24" spans="1:19" x14ac:dyDescent="0.35">
      <c r="A24" s="60"/>
      <c r="B24" s="60"/>
      <c r="C24" s="60"/>
      <c r="D24" s="60"/>
      <c r="E24" s="425"/>
      <c r="F24" s="208">
        <v>2030</v>
      </c>
      <c r="G24" s="80">
        <v>261.14999999999998</v>
      </c>
      <c r="H24" s="81">
        <v>1E-3</v>
      </c>
      <c r="I24" s="81">
        <v>2.8000000000000001E-2</v>
      </c>
      <c r="J24" s="81">
        <v>2.5816889999999999E-3</v>
      </c>
      <c r="K24" s="60"/>
      <c r="L24" s="60"/>
      <c r="M24" s="60"/>
      <c r="N24" s="60"/>
      <c r="O24" s="60"/>
      <c r="P24" s="60"/>
      <c r="Q24" s="60"/>
      <c r="R24" s="60"/>
      <c r="S24" s="60"/>
    </row>
    <row r="25" spans="1:19" x14ac:dyDescent="0.35">
      <c r="A25" s="60"/>
      <c r="B25" s="60"/>
      <c r="C25" s="60"/>
      <c r="D25" s="60"/>
      <c r="E25" s="425"/>
      <c r="F25" s="208">
        <v>2031</v>
      </c>
      <c r="G25" s="80">
        <v>257.98</v>
      </c>
      <c r="H25" s="81">
        <v>8.9999999999999998E-4</v>
      </c>
      <c r="I25" s="81">
        <v>2.6700000000000002E-2</v>
      </c>
      <c r="J25" s="81">
        <v>2.5504299999999998E-3</v>
      </c>
      <c r="K25" s="60"/>
      <c r="L25" s="60"/>
      <c r="M25" s="60"/>
      <c r="N25" s="60"/>
      <c r="O25" s="60"/>
      <c r="P25" s="60"/>
      <c r="Q25" s="60"/>
      <c r="R25" s="60"/>
      <c r="S25" s="60"/>
    </row>
    <row r="26" spans="1:19" x14ac:dyDescent="0.35">
      <c r="A26" s="60"/>
      <c r="B26" s="60"/>
      <c r="C26" s="60"/>
      <c r="D26" s="60"/>
      <c r="E26" s="425"/>
      <c r="F26" s="208">
        <v>2032</v>
      </c>
      <c r="G26" s="80">
        <v>255.18</v>
      </c>
      <c r="H26" s="81">
        <v>8.9999999999999998E-4</v>
      </c>
      <c r="I26" s="81">
        <v>2.5700000000000001E-2</v>
      </c>
      <c r="J26" s="81">
        <v>2.522692E-3</v>
      </c>
      <c r="K26" s="60"/>
      <c r="L26" s="60"/>
      <c r="M26" s="60"/>
      <c r="N26" s="60"/>
      <c r="O26" s="60"/>
      <c r="P26" s="60"/>
      <c r="Q26" s="60"/>
      <c r="R26" s="60"/>
      <c r="S26" s="60"/>
    </row>
    <row r="27" spans="1:19" x14ac:dyDescent="0.35">
      <c r="A27" s="60"/>
      <c r="B27" s="60"/>
      <c r="C27" s="60"/>
      <c r="D27" s="60"/>
      <c r="E27" s="425"/>
      <c r="F27" s="208">
        <v>2033</v>
      </c>
      <c r="G27" s="80">
        <v>252.74</v>
      </c>
      <c r="H27" s="81">
        <v>8.0000000000000004E-4</v>
      </c>
      <c r="I27" s="81">
        <v>2.4799999999999999E-2</v>
      </c>
      <c r="J27" s="81">
        <v>2.4986280000000001E-3</v>
      </c>
      <c r="K27" s="60"/>
      <c r="L27" s="60"/>
      <c r="M27" s="60"/>
      <c r="N27" s="60"/>
      <c r="O27" s="60"/>
      <c r="P27" s="60"/>
      <c r="Q27" s="60"/>
      <c r="R27" s="60"/>
      <c r="S27" s="60"/>
    </row>
    <row r="28" spans="1:19" x14ac:dyDescent="0.35">
      <c r="A28" s="60"/>
      <c r="B28" s="60"/>
      <c r="C28" s="60"/>
      <c r="D28" s="60"/>
      <c r="E28" s="425"/>
      <c r="F28" s="208">
        <v>2034</v>
      </c>
      <c r="G28" s="80">
        <v>250.55</v>
      </c>
      <c r="H28" s="81">
        <v>8.0000000000000004E-4</v>
      </c>
      <c r="I28" s="81">
        <v>2.4E-2</v>
      </c>
      <c r="J28" s="81">
        <v>2.476902E-3</v>
      </c>
      <c r="K28" s="60"/>
      <c r="L28" s="60"/>
      <c r="M28" s="60"/>
      <c r="N28" s="60"/>
      <c r="O28" s="60"/>
      <c r="P28" s="60"/>
      <c r="Q28" s="60"/>
      <c r="R28" s="60"/>
      <c r="S28" s="60"/>
    </row>
    <row r="29" spans="1:19" x14ac:dyDescent="0.35">
      <c r="A29" s="60"/>
      <c r="B29" s="60"/>
      <c r="C29" s="60"/>
      <c r="D29" s="60"/>
      <c r="E29" s="425"/>
      <c r="F29" s="208">
        <v>2035</v>
      </c>
      <c r="G29" s="80">
        <v>248.62</v>
      </c>
      <c r="H29" s="81">
        <v>6.9999999999999999E-4</v>
      </c>
      <c r="I29" s="81">
        <v>2.3199999999999998E-2</v>
      </c>
      <c r="J29" s="81">
        <v>2.4578759999999999E-3</v>
      </c>
      <c r="K29" s="60"/>
      <c r="L29" s="60"/>
      <c r="M29" s="60"/>
      <c r="N29" s="60"/>
      <c r="O29" s="60"/>
      <c r="P29" s="60"/>
      <c r="Q29" s="60"/>
      <c r="R29" s="60"/>
      <c r="S29" s="60"/>
    </row>
    <row r="30" spans="1:19" x14ac:dyDescent="0.35">
      <c r="A30" s="60"/>
      <c r="B30" s="60"/>
      <c r="C30" s="60"/>
      <c r="D30" s="60"/>
      <c r="E30" s="425"/>
      <c r="F30" s="208">
        <v>2036</v>
      </c>
      <c r="G30" s="80">
        <v>246.98</v>
      </c>
      <c r="H30" s="81">
        <v>6.9999999999999999E-4</v>
      </c>
      <c r="I30" s="81">
        <v>2.2599999999999999E-2</v>
      </c>
      <c r="J30" s="81">
        <v>2.4416400000000001E-3</v>
      </c>
      <c r="K30" s="60"/>
      <c r="L30" s="60"/>
      <c r="M30" s="60"/>
      <c r="N30" s="60"/>
      <c r="O30" s="60"/>
      <c r="P30" s="60"/>
      <c r="Q30" s="60"/>
      <c r="R30" s="60"/>
      <c r="S30" s="60"/>
    </row>
    <row r="31" spans="1:19" x14ac:dyDescent="0.35">
      <c r="A31" s="60"/>
      <c r="B31" s="60"/>
      <c r="C31" s="60"/>
      <c r="D31" s="60"/>
      <c r="E31" s="425"/>
      <c r="F31" s="208">
        <v>2037</v>
      </c>
      <c r="G31" s="80">
        <v>245.55</v>
      </c>
      <c r="H31" s="81">
        <v>5.9999999999999995E-4</v>
      </c>
      <c r="I31" s="81">
        <v>2.2100000000000002E-2</v>
      </c>
      <c r="J31" s="81">
        <v>2.427528E-3</v>
      </c>
      <c r="K31" s="60"/>
      <c r="L31" s="60"/>
      <c r="M31" s="60"/>
      <c r="N31" s="60"/>
      <c r="O31" s="60"/>
      <c r="P31" s="60"/>
      <c r="Q31" s="60"/>
      <c r="R31" s="60"/>
      <c r="S31" s="60"/>
    </row>
    <row r="32" spans="1:19" x14ac:dyDescent="0.35">
      <c r="A32" s="60"/>
      <c r="B32" s="60"/>
      <c r="C32" s="60"/>
      <c r="D32" s="60"/>
      <c r="E32" s="425"/>
      <c r="F32" s="208">
        <v>2038</v>
      </c>
      <c r="G32" s="80">
        <v>244.32</v>
      </c>
      <c r="H32" s="81">
        <v>5.9999999999999995E-4</v>
      </c>
      <c r="I32" s="81">
        <v>2.1600000000000001E-2</v>
      </c>
      <c r="J32" s="81">
        <v>2.4153439999999998E-3</v>
      </c>
      <c r="K32" s="60"/>
      <c r="L32" s="60"/>
      <c r="M32" s="60"/>
      <c r="N32" s="60"/>
      <c r="O32" s="60"/>
      <c r="P32" s="60"/>
      <c r="Q32" s="60"/>
      <c r="R32" s="60"/>
      <c r="S32" s="60"/>
    </row>
    <row r="33" spans="1:19" x14ac:dyDescent="0.35">
      <c r="A33" s="60"/>
      <c r="B33" s="60"/>
      <c r="C33" s="60"/>
      <c r="D33" s="60"/>
      <c r="E33" s="425"/>
      <c r="F33" s="208">
        <v>2039</v>
      </c>
      <c r="G33" s="80">
        <v>243.31</v>
      </c>
      <c r="H33" s="81">
        <v>5.9999999999999995E-4</v>
      </c>
      <c r="I33" s="81">
        <v>2.12E-2</v>
      </c>
      <c r="J33" s="81">
        <v>2.4053239999999999E-3</v>
      </c>
      <c r="K33" s="60"/>
      <c r="L33" s="60"/>
      <c r="M33" s="60"/>
      <c r="N33" s="60"/>
      <c r="O33" s="60"/>
      <c r="P33" s="60"/>
      <c r="Q33" s="60"/>
      <c r="R33" s="60"/>
      <c r="S33" s="60"/>
    </row>
    <row r="34" spans="1:19" x14ac:dyDescent="0.35">
      <c r="A34" s="60"/>
      <c r="B34" s="60"/>
      <c r="C34" s="60"/>
      <c r="D34" s="60"/>
      <c r="E34" s="425"/>
      <c r="F34" s="208">
        <v>2040</v>
      </c>
      <c r="G34" s="80">
        <v>242.46</v>
      </c>
      <c r="H34" s="81">
        <v>5.9999999999999995E-4</v>
      </c>
      <c r="I34" s="81">
        <v>2.0799999999999999E-2</v>
      </c>
      <c r="J34" s="81">
        <v>2.3969849999999999E-3</v>
      </c>
      <c r="K34" s="60"/>
      <c r="L34" s="60"/>
      <c r="M34" s="60"/>
      <c r="N34" s="60"/>
      <c r="O34" s="60"/>
      <c r="P34" s="60"/>
      <c r="Q34" s="60"/>
      <c r="R34" s="60"/>
      <c r="S34" s="60"/>
    </row>
    <row r="35" spans="1:19" x14ac:dyDescent="0.35">
      <c r="A35" s="60"/>
      <c r="B35" s="60"/>
      <c r="C35" s="60"/>
      <c r="D35" s="60"/>
      <c r="E35" s="425"/>
      <c r="F35" s="208">
        <v>2041</v>
      </c>
      <c r="G35" s="80">
        <v>241.7</v>
      </c>
      <c r="H35" s="81">
        <v>5.0000000000000001E-4</v>
      </c>
      <c r="I35" s="81">
        <v>2.0400000000000001E-2</v>
      </c>
      <c r="J35" s="81">
        <v>2.389441E-3</v>
      </c>
      <c r="K35" s="60"/>
      <c r="L35" s="60"/>
      <c r="M35" s="60"/>
      <c r="N35" s="60"/>
      <c r="O35" s="60"/>
      <c r="P35" s="60"/>
      <c r="Q35" s="60"/>
      <c r="R35" s="60"/>
      <c r="S35" s="60"/>
    </row>
    <row r="36" spans="1:19" x14ac:dyDescent="0.35">
      <c r="A36" s="60"/>
      <c r="B36" s="60"/>
      <c r="C36" s="60"/>
      <c r="D36" s="60"/>
      <c r="E36" s="425"/>
      <c r="F36" s="208">
        <v>2042</v>
      </c>
      <c r="G36" s="80">
        <v>241.13</v>
      </c>
      <c r="H36" s="81">
        <v>5.0000000000000001E-4</v>
      </c>
      <c r="I36" s="81">
        <v>2.0199999999999999E-2</v>
      </c>
      <c r="J36" s="81">
        <v>2.3838499999999999E-3</v>
      </c>
      <c r="K36" s="60"/>
      <c r="L36" s="60"/>
      <c r="M36" s="60"/>
      <c r="N36" s="60"/>
      <c r="O36" s="60"/>
      <c r="P36" s="60"/>
      <c r="Q36" s="60"/>
      <c r="R36" s="60"/>
      <c r="S36" s="60"/>
    </row>
    <row r="37" spans="1:19" x14ac:dyDescent="0.35">
      <c r="A37" s="60"/>
      <c r="B37" s="60"/>
      <c r="C37" s="60"/>
      <c r="D37" s="60"/>
      <c r="E37" s="425"/>
      <c r="F37" s="208">
        <v>2043</v>
      </c>
      <c r="G37" s="80">
        <v>240.68</v>
      </c>
      <c r="H37" s="81">
        <v>5.0000000000000001E-4</v>
      </c>
      <c r="I37" s="81">
        <v>1.9900000000000001E-2</v>
      </c>
      <c r="J37" s="81">
        <v>2.3793299999999998E-3</v>
      </c>
      <c r="K37" s="60"/>
      <c r="L37" s="60"/>
      <c r="M37" s="60"/>
      <c r="N37" s="60"/>
      <c r="O37" s="60"/>
      <c r="P37" s="60"/>
      <c r="Q37" s="60"/>
      <c r="R37" s="60"/>
      <c r="S37" s="60"/>
    </row>
    <row r="38" spans="1:19" x14ac:dyDescent="0.35">
      <c r="A38" s="60"/>
      <c r="B38" s="60"/>
      <c r="C38" s="60"/>
      <c r="D38" s="60"/>
      <c r="E38" s="425"/>
      <c r="F38" s="208">
        <v>2044</v>
      </c>
      <c r="G38" s="80">
        <v>240.31</v>
      </c>
      <c r="H38" s="81">
        <v>5.0000000000000001E-4</v>
      </c>
      <c r="I38" s="81">
        <v>1.9800000000000002E-2</v>
      </c>
      <c r="J38" s="81">
        <v>2.3757119999999999E-3</v>
      </c>
      <c r="K38" s="60"/>
      <c r="L38" s="60"/>
      <c r="M38" s="60"/>
      <c r="N38" s="60"/>
      <c r="O38" s="60"/>
      <c r="P38" s="60"/>
      <c r="Q38" s="60"/>
      <c r="R38" s="60"/>
      <c r="S38" s="60"/>
    </row>
    <row r="39" spans="1:19" x14ac:dyDescent="0.35">
      <c r="A39" s="60"/>
      <c r="B39" s="60"/>
      <c r="C39" s="60"/>
      <c r="D39" s="60"/>
      <c r="E39" s="425"/>
      <c r="F39" s="208">
        <v>2045</v>
      </c>
      <c r="G39" s="80">
        <v>240.01</v>
      </c>
      <c r="H39" s="81">
        <v>5.0000000000000001E-4</v>
      </c>
      <c r="I39" s="81">
        <v>1.9599999999999999E-2</v>
      </c>
      <c r="J39" s="81">
        <v>2.372791E-3</v>
      </c>
      <c r="K39" s="60"/>
      <c r="L39" s="60"/>
      <c r="M39" s="60"/>
      <c r="N39" s="60"/>
      <c r="O39" s="60"/>
      <c r="P39" s="60"/>
      <c r="Q39" s="60"/>
      <c r="R39" s="60"/>
      <c r="S39" s="60"/>
    </row>
    <row r="40" spans="1:19" x14ac:dyDescent="0.35">
      <c r="A40" s="60"/>
      <c r="B40" s="60"/>
      <c r="C40" s="60"/>
      <c r="D40" s="60"/>
      <c r="E40" s="425"/>
      <c r="F40" s="208">
        <v>2046</v>
      </c>
      <c r="G40" s="80">
        <v>239.78</v>
      </c>
      <c r="H40" s="81">
        <v>5.0000000000000001E-4</v>
      </c>
      <c r="I40" s="81">
        <v>1.95E-2</v>
      </c>
      <c r="J40" s="81">
        <v>2.3704630000000002E-3</v>
      </c>
      <c r="K40" s="60"/>
      <c r="L40" s="60"/>
      <c r="M40" s="60"/>
      <c r="N40" s="60"/>
      <c r="O40" s="60"/>
      <c r="P40" s="60"/>
      <c r="Q40" s="60"/>
      <c r="R40" s="60"/>
      <c r="S40" s="60"/>
    </row>
    <row r="41" spans="1:19" x14ac:dyDescent="0.35">
      <c r="A41" s="60"/>
      <c r="B41" s="60"/>
      <c r="C41" s="60"/>
      <c r="D41" s="60"/>
      <c r="E41" s="425"/>
      <c r="F41" s="208">
        <v>2047</v>
      </c>
      <c r="G41" s="80">
        <v>239.59</v>
      </c>
      <c r="H41" s="81">
        <v>5.0000000000000001E-4</v>
      </c>
      <c r="I41" s="81">
        <v>1.9400000000000001E-2</v>
      </c>
      <c r="J41" s="81">
        <v>2.3686029999999999E-3</v>
      </c>
      <c r="K41" s="60"/>
      <c r="L41" s="60"/>
      <c r="M41" s="60"/>
      <c r="N41" s="60"/>
      <c r="O41" s="60"/>
      <c r="P41" s="60"/>
      <c r="Q41" s="60"/>
      <c r="R41" s="60"/>
      <c r="S41" s="60"/>
    </row>
    <row r="42" spans="1:19" x14ac:dyDescent="0.35">
      <c r="A42" s="60"/>
      <c r="B42" s="60"/>
      <c r="C42" s="60"/>
      <c r="D42" s="60"/>
      <c r="E42" s="425"/>
      <c r="F42" s="208">
        <v>2048</v>
      </c>
      <c r="G42" s="81">
        <v>239.44</v>
      </c>
      <c r="H42" s="81">
        <v>5.0000000000000001E-4</v>
      </c>
      <c r="I42" s="81">
        <v>1.9400000000000001E-2</v>
      </c>
      <c r="J42" s="81">
        <v>2.3671019999999998E-3</v>
      </c>
      <c r="K42" s="60"/>
      <c r="L42" s="60"/>
      <c r="M42" s="60"/>
      <c r="N42" s="60"/>
      <c r="O42" s="60"/>
      <c r="P42" s="60"/>
      <c r="Q42" s="60"/>
      <c r="R42" s="60"/>
      <c r="S42" s="60"/>
    </row>
    <row r="43" spans="1:19" x14ac:dyDescent="0.35">
      <c r="A43" s="60"/>
      <c r="B43" s="60"/>
      <c r="C43" s="60"/>
      <c r="D43" s="60"/>
      <c r="E43" s="425"/>
      <c r="F43" s="208">
        <v>2049</v>
      </c>
      <c r="G43" s="81">
        <v>239.32</v>
      </c>
      <c r="H43" s="81">
        <v>5.0000000000000001E-4</v>
      </c>
      <c r="I43" s="81">
        <v>1.9400000000000001E-2</v>
      </c>
      <c r="J43" s="81">
        <v>2.3658730000000001E-3</v>
      </c>
      <c r="K43" s="60"/>
      <c r="L43" s="60"/>
      <c r="M43" s="60"/>
      <c r="N43" s="60"/>
      <c r="O43" s="60"/>
      <c r="P43" s="60"/>
      <c r="Q43" s="60"/>
      <c r="R43" s="60"/>
      <c r="S43" s="60"/>
    </row>
    <row r="44" spans="1:19" x14ac:dyDescent="0.35">
      <c r="A44" s="60"/>
      <c r="B44" s="60"/>
      <c r="C44" s="60"/>
      <c r="D44" s="60"/>
      <c r="E44" s="426"/>
      <c r="F44" s="208">
        <v>2050</v>
      </c>
      <c r="G44" s="81">
        <v>239.21</v>
      </c>
      <c r="H44" s="81">
        <v>5.0000000000000001E-4</v>
      </c>
      <c r="I44" s="81">
        <v>1.9400000000000001E-2</v>
      </c>
      <c r="J44" s="81">
        <v>2.3648559999999998E-3</v>
      </c>
      <c r="K44" s="60"/>
      <c r="L44" s="60"/>
      <c r="M44" s="60"/>
      <c r="N44" s="60"/>
      <c r="O44" s="60"/>
      <c r="P44" s="60"/>
      <c r="Q44" s="60"/>
      <c r="R44" s="60"/>
      <c r="S44" s="60"/>
    </row>
    <row r="45" spans="1:19" x14ac:dyDescent="0.35">
      <c r="A45" s="60"/>
      <c r="B45" s="60"/>
      <c r="C45" s="60"/>
      <c r="D45" s="60"/>
      <c r="E45" s="60"/>
      <c r="F45" s="60"/>
      <c r="G45" s="60"/>
      <c r="H45" s="60"/>
      <c r="I45" s="60"/>
      <c r="J45" s="60"/>
      <c r="K45" s="60"/>
      <c r="L45" s="60"/>
      <c r="M45" s="60"/>
      <c r="N45" s="60"/>
      <c r="O45" s="60"/>
      <c r="P45" s="60"/>
      <c r="Q45" s="60"/>
      <c r="R45" s="60"/>
      <c r="S45" s="60"/>
    </row>
    <row r="46" spans="1:19" x14ac:dyDescent="0.35">
      <c r="A46" s="60"/>
      <c r="B46" s="60"/>
      <c r="C46" s="60"/>
      <c r="D46" s="60"/>
      <c r="E46" s="60"/>
      <c r="F46" s="60"/>
      <c r="G46" s="60" t="s">
        <v>771</v>
      </c>
      <c r="H46" s="60" t="s">
        <v>772</v>
      </c>
      <c r="I46" s="60"/>
      <c r="J46" s="60"/>
      <c r="K46" s="60"/>
      <c r="L46" s="60"/>
      <c r="M46" s="60"/>
      <c r="N46" s="60"/>
      <c r="O46" s="60"/>
      <c r="P46" s="60"/>
      <c r="Q46" s="60"/>
      <c r="R46" s="60"/>
      <c r="S46" s="60"/>
    </row>
    <row r="47" spans="1:19" x14ac:dyDescent="0.35">
      <c r="A47" s="60"/>
      <c r="B47" s="60"/>
      <c r="C47" s="60"/>
      <c r="D47" s="60"/>
      <c r="E47" s="60"/>
      <c r="F47" s="60"/>
      <c r="G47" s="60" t="s">
        <v>773</v>
      </c>
      <c r="H47" s="60" t="s">
        <v>774</v>
      </c>
      <c r="I47" s="60"/>
      <c r="J47" s="60"/>
      <c r="K47" s="60"/>
      <c r="L47" s="60"/>
      <c r="M47" s="60"/>
      <c r="N47" s="60"/>
      <c r="O47" s="60"/>
      <c r="P47" s="60"/>
      <c r="Q47" s="60"/>
      <c r="R47" s="60"/>
      <c r="S47" s="60"/>
    </row>
    <row r="48" spans="1:19" x14ac:dyDescent="0.35">
      <c r="A48" s="60"/>
      <c r="B48" s="60"/>
      <c r="C48" s="60"/>
      <c r="D48" s="60"/>
      <c r="E48" s="60"/>
      <c r="F48" s="60"/>
      <c r="G48" s="60"/>
      <c r="H48" s="60"/>
      <c r="I48" s="60"/>
      <c r="J48" s="60"/>
      <c r="K48" s="60"/>
      <c r="L48" s="60"/>
      <c r="M48" s="60"/>
      <c r="N48" s="60"/>
      <c r="O48" s="60"/>
      <c r="P48" s="60"/>
      <c r="Q48" s="60"/>
      <c r="R48" s="60"/>
      <c r="S48" s="60"/>
    </row>
    <row r="49" spans="1:19" x14ac:dyDescent="0.35">
      <c r="A49" s="60"/>
      <c r="B49" s="60"/>
      <c r="C49" s="60"/>
      <c r="D49" s="60"/>
      <c r="E49" s="60"/>
      <c r="F49" s="60"/>
      <c r="G49" s="428" t="s">
        <v>775</v>
      </c>
      <c r="H49" s="428"/>
      <c r="I49" s="428"/>
      <c r="J49" s="428"/>
      <c r="K49" s="60"/>
      <c r="L49" s="60"/>
      <c r="M49" s="60"/>
      <c r="N49" s="60"/>
      <c r="O49" s="60"/>
      <c r="P49" s="60"/>
      <c r="Q49" s="60"/>
      <c r="R49" s="60"/>
      <c r="S49" s="60"/>
    </row>
    <row r="50" spans="1:19" x14ac:dyDescent="0.35">
      <c r="A50" s="60"/>
      <c r="B50" s="60"/>
      <c r="C50" s="60"/>
      <c r="D50" s="60"/>
      <c r="E50" s="60"/>
      <c r="F50" s="86" t="s">
        <v>145</v>
      </c>
      <c r="G50" s="209" t="s">
        <v>757</v>
      </c>
      <c r="H50" s="82" t="s">
        <v>776</v>
      </c>
      <c r="I50" s="82" t="s">
        <v>759</v>
      </c>
      <c r="J50" s="82" t="s">
        <v>760</v>
      </c>
      <c r="K50" s="60"/>
      <c r="L50" s="60"/>
      <c r="M50" s="60"/>
      <c r="N50" s="60"/>
      <c r="O50" s="60"/>
      <c r="P50" s="60"/>
      <c r="Q50" s="60"/>
      <c r="R50" s="60"/>
      <c r="S50" s="60"/>
    </row>
    <row r="51" spans="1:19" x14ac:dyDescent="0.35">
      <c r="A51" s="60"/>
      <c r="B51" s="60"/>
      <c r="C51" s="60"/>
      <c r="D51" s="60"/>
      <c r="E51" s="421" t="s">
        <v>762</v>
      </c>
      <c r="F51" s="78">
        <v>2014</v>
      </c>
      <c r="G51" s="83">
        <v>1572</v>
      </c>
      <c r="H51" s="79">
        <v>0.22589999999999999</v>
      </c>
      <c r="I51" s="79">
        <v>7.1524000000000001</v>
      </c>
      <c r="J51" s="79">
        <v>1.4800000000000001E-2</v>
      </c>
      <c r="K51" s="75"/>
      <c r="L51" s="60"/>
      <c r="M51" s="60"/>
      <c r="N51" s="60"/>
      <c r="O51" s="60"/>
      <c r="P51" s="60"/>
      <c r="Q51" s="60"/>
      <c r="R51" s="60"/>
      <c r="S51" s="60"/>
    </row>
    <row r="52" spans="1:19" x14ac:dyDescent="0.35">
      <c r="A52" s="60"/>
      <c r="B52" s="60"/>
      <c r="C52" s="60"/>
      <c r="D52" s="60"/>
      <c r="E52" s="422"/>
      <c r="F52" s="78">
        <v>2015</v>
      </c>
      <c r="G52" s="83">
        <v>1575</v>
      </c>
      <c r="H52" s="79">
        <v>0.19550000000000001</v>
      </c>
      <c r="I52" s="79">
        <v>6.2648000000000001</v>
      </c>
      <c r="J52" s="79">
        <v>1.49E-2</v>
      </c>
      <c r="K52" s="60"/>
      <c r="L52" s="60"/>
      <c r="M52" s="60"/>
      <c r="N52" s="60"/>
      <c r="O52" s="60"/>
      <c r="P52" s="60"/>
      <c r="Q52" s="60"/>
      <c r="R52" s="60"/>
      <c r="S52" s="60"/>
    </row>
    <row r="53" spans="1:19" x14ac:dyDescent="0.35">
      <c r="A53" s="60"/>
      <c r="B53" s="60"/>
      <c r="C53" s="60"/>
      <c r="D53" s="60"/>
      <c r="E53" s="422"/>
      <c r="F53" s="78">
        <v>2016</v>
      </c>
      <c r="G53" s="83">
        <v>1583</v>
      </c>
      <c r="H53" s="79">
        <v>0.1633</v>
      </c>
      <c r="I53" s="79">
        <v>5.3207000000000004</v>
      </c>
      <c r="J53" s="79">
        <v>1.4999999999999999E-2</v>
      </c>
      <c r="K53" s="60"/>
      <c r="L53" s="60"/>
      <c r="M53" s="60"/>
      <c r="N53" s="60"/>
      <c r="O53" s="60"/>
      <c r="P53" s="60"/>
      <c r="Q53" s="60"/>
      <c r="R53" s="60"/>
      <c r="S53" s="60"/>
    </row>
    <row r="54" spans="1:19" x14ac:dyDescent="0.35">
      <c r="A54" s="60"/>
      <c r="B54" s="60"/>
      <c r="C54" s="60"/>
      <c r="D54" s="60"/>
      <c r="E54" s="422"/>
      <c r="F54" s="78">
        <v>2017</v>
      </c>
      <c r="G54" s="83">
        <v>1593</v>
      </c>
      <c r="H54" s="79">
        <v>0.13489999999999999</v>
      </c>
      <c r="I54" s="79">
        <v>4.6212999999999997</v>
      </c>
      <c r="J54" s="79">
        <v>1.5100000000000001E-2</v>
      </c>
      <c r="K54" s="60"/>
      <c r="L54" s="60"/>
      <c r="M54" s="60"/>
      <c r="N54" s="60"/>
      <c r="O54" s="60"/>
      <c r="P54" s="60"/>
      <c r="Q54" s="60"/>
      <c r="R54" s="60"/>
      <c r="S54" s="60"/>
    </row>
    <row r="55" spans="1:19" x14ac:dyDescent="0.35">
      <c r="A55" s="60"/>
      <c r="B55" s="60"/>
      <c r="C55" s="60"/>
      <c r="D55" s="60"/>
      <c r="E55" s="422"/>
      <c r="F55" s="78">
        <v>2018</v>
      </c>
      <c r="G55" s="83">
        <v>1603</v>
      </c>
      <c r="H55" s="79">
        <v>0.1148</v>
      </c>
      <c r="I55" s="79">
        <v>3.9666000000000001</v>
      </c>
      <c r="J55" s="79">
        <v>1.52E-2</v>
      </c>
      <c r="K55" s="60"/>
      <c r="L55" s="60"/>
      <c r="M55" s="60"/>
      <c r="N55" s="60"/>
      <c r="O55" s="60"/>
      <c r="P55" s="60"/>
      <c r="Q55" s="60"/>
      <c r="R55" s="60"/>
      <c r="S55" s="60"/>
    </row>
    <row r="56" spans="1:19" x14ac:dyDescent="0.35">
      <c r="A56" s="60"/>
      <c r="B56" s="60"/>
      <c r="C56" s="60"/>
      <c r="D56" s="60"/>
      <c r="E56" s="422"/>
      <c r="F56" s="78">
        <v>2019</v>
      </c>
      <c r="G56" s="83">
        <v>1605</v>
      </c>
      <c r="H56" s="79">
        <v>0.10349999999999999</v>
      </c>
      <c r="I56" s="79">
        <v>3.8237999999999999</v>
      </c>
      <c r="J56" s="79">
        <v>1.52E-2</v>
      </c>
      <c r="K56" s="60"/>
      <c r="L56" s="60"/>
      <c r="M56" s="60"/>
      <c r="N56" s="60"/>
      <c r="O56" s="60"/>
      <c r="P56" s="60"/>
      <c r="Q56" s="60"/>
      <c r="R56" s="60"/>
      <c r="S56" s="60"/>
    </row>
    <row r="57" spans="1:19" x14ac:dyDescent="0.35">
      <c r="A57" s="60"/>
      <c r="B57" s="60"/>
      <c r="C57" s="60"/>
      <c r="D57" s="60"/>
      <c r="E57" s="422"/>
      <c r="F57" s="78">
        <v>2020</v>
      </c>
      <c r="G57" s="83">
        <v>1607</v>
      </c>
      <c r="H57" s="79">
        <v>7.5200000000000003E-2</v>
      </c>
      <c r="I57" s="79">
        <v>2.8418999999999999</v>
      </c>
      <c r="J57" s="79">
        <v>1.52E-2</v>
      </c>
      <c r="K57" s="60"/>
      <c r="L57" s="60"/>
      <c r="M57" s="60"/>
      <c r="N57" s="60"/>
      <c r="O57" s="60"/>
      <c r="P57" s="60"/>
      <c r="Q57" s="60"/>
      <c r="R57" s="60"/>
      <c r="S57" s="60"/>
    </row>
    <row r="58" spans="1:19" x14ac:dyDescent="0.35">
      <c r="A58" s="60"/>
      <c r="B58" s="60"/>
      <c r="C58" s="60"/>
      <c r="D58" s="60"/>
      <c r="E58" s="422"/>
      <c r="F58" s="78">
        <v>2021</v>
      </c>
      <c r="G58" s="83">
        <v>1600</v>
      </c>
      <c r="H58" s="79">
        <v>4.9500000000000002E-2</v>
      </c>
      <c r="I58" s="79">
        <v>2.1326999999999998</v>
      </c>
      <c r="J58" s="79">
        <v>1.5100000000000001E-2</v>
      </c>
      <c r="K58" s="60"/>
      <c r="L58" s="60"/>
      <c r="M58" s="60"/>
      <c r="N58" s="60"/>
      <c r="O58" s="60"/>
      <c r="P58" s="60"/>
      <c r="Q58" s="60"/>
      <c r="R58" s="60"/>
      <c r="S58" s="60"/>
    </row>
    <row r="59" spans="1:19" x14ac:dyDescent="0.35">
      <c r="A59" s="60"/>
      <c r="B59" s="60"/>
      <c r="C59" s="60"/>
      <c r="D59" s="60"/>
      <c r="E59" s="423"/>
      <c r="F59" s="78">
        <v>2022</v>
      </c>
      <c r="G59" s="83">
        <v>1578</v>
      </c>
      <c r="H59" s="79">
        <v>0.03</v>
      </c>
      <c r="I59" s="79">
        <v>1.6836</v>
      </c>
      <c r="J59" s="79">
        <v>1.49E-2</v>
      </c>
      <c r="K59" s="60"/>
      <c r="L59" s="60"/>
      <c r="M59" s="60"/>
      <c r="N59" s="60"/>
      <c r="O59" s="60"/>
      <c r="P59" s="60"/>
      <c r="Q59" s="60"/>
      <c r="R59" s="60"/>
      <c r="S59" s="60"/>
    </row>
    <row r="60" spans="1:19" x14ac:dyDescent="0.35">
      <c r="A60" s="60"/>
      <c r="B60" s="60"/>
      <c r="C60" s="60"/>
      <c r="D60" s="60"/>
      <c r="E60" s="424" t="s">
        <v>770</v>
      </c>
      <c r="F60" s="76">
        <v>2023</v>
      </c>
      <c r="G60" s="84">
        <v>1549</v>
      </c>
      <c r="H60" s="81">
        <v>2.9399999999999999E-2</v>
      </c>
      <c r="I60" s="81">
        <v>1.5012000000000001</v>
      </c>
      <c r="J60" s="81">
        <v>1.4667246E-2</v>
      </c>
      <c r="K60" s="60"/>
      <c r="L60" s="60"/>
      <c r="M60" s="60"/>
      <c r="N60" s="60"/>
      <c r="O60" s="60"/>
      <c r="P60" s="60"/>
      <c r="Q60" s="60"/>
      <c r="R60" s="60"/>
      <c r="S60" s="60"/>
    </row>
    <row r="61" spans="1:19" x14ac:dyDescent="0.35">
      <c r="A61" s="60"/>
      <c r="B61" s="60"/>
      <c r="C61" s="60"/>
      <c r="D61" s="60"/>
      <c r="E61" s="425"/>
      <c r="F61" s="76">
        <v>2024</v>
      </c>
      <c r="G61" s="84">
        <v>1516</v>
      </c>
      <c r="H61" s="81">
        <v>2.92E-2</v>
      </c>
      <c r="I61" s="81">
        <v>1.4655</v>
      </c>
      <c r="J61" s="81">
        <v>1.4360191E-2</v>
      </c>
      <c r="K61" s="60"/>
      <c r="L61" s="60"/>
      <c r="M61" s="60"/>
      <c r="N61" s="60"/>
      <c r="O61" s="60"/>
      <c r="P61" s="60"/>
      <c r="Q61" s="60"/>
      <c r="R61" s="60"/>
      <c r="S61" s="60"/>
    </row>
    <row r="62" spans="1:19" x14ac:dyDescent="0.35">
      <c r="A62" s="60"/>
      <c r="B62" s="60"/>
      <c r="C62" s="60"/>
      <c r="D62" s="60"/>
      <c r="E62" s="425"/>
      <c r="F62" s="76">
        <v>2025</v>
      </c>
      <c r="G62" s="84">
        <v>1479</v>
      </c>
      <c r="H62" s="81">
        <v>2.8899999999999999E-2</v>
      </c>
      <c r="I62" s="81">
        <v>1.4361999999999999</v>
      </c>
      <c r="J62" s="81">
        <v>1.4007926E-2</v>
      </c>
      <c r="K62" s="60"/>
      <c r="L62" s="60"/>
      <c r="M62" s="60"/>
      <c r="N62" s="60"/>
      <c r="O62" s="60"/>
      <c r="P62" s="60"/>
      <c r="Q62" s="60"/>
      <c r="R62" s="60"/>
      <c r="S62" s="60"/>
    </row>
    <row r="63" spans="1:19" x14ac:dyDescent="0.35">
      <c r="A63" s="60"/>
      <c r="B63" s="60"/>
      <c r="C63" s="60"/>
      <c r="D63" s="60"/>
      <c r="E63" s="425"/>
      <c r="F63" s="76">
        <v>2026</v>
      </c>
      <c r="G63" s="84">
        <v>1444</v>
      </c>
      <c r="H63" s="81">
        <v>2.8799999999999999E-2</v>
      </c>
      <c r="I63" s="81">
        <v>1.4124000000000001</v>
      </c>
      <c r="J63" s="81">
        <v>1.3676425000000001E-2</v>
      </c>
      <c r="K63" s="60"/>
      <c r="L63" s="60"/>
      <c r="M63" s="60"/>
      <c r="N63" s="60"/>
      <c r="O63" s="60"/>
      <c r="P63" s="60"/>
      <c r="Q63" s="60"/>
      <c r="R63" s="60"/>
      <c r="S63" s="60"/>
    </row>
    <row r="64" spans="1:19" x14ac:dyDescent="0.35">
      <c r="A64" s="60"/>
      <c r="B64" s="60"/>
      <c r="C64" s="60"/>
      <c r="D64" s="60"/>
      <c r="E64" s="425"/>
      <c r="F64" s="76">
        <v>2027</v>
      </c>
      <c r="G64" s="84">
        <v>1409</v>
      </c>
      <c r="H64" s="81">
        <v>2.8799999999999999E-2</v>
      </c>
      <c r="I64" s="81">
        <v>1.3917999999999999</v>
      </c>
      <c r="J64" s="81">
        <v>1.3342791999999999E-2</v>
      </c>
      <c r="K64" s="60"/>
      <c r="L64" s="60"/>
      <c r="M64" s="60"/>
      <c r="N64" s="60"/>
      <c r="O64" s="60"/>
      <c r="P64" s="60"/>
      <c r="Q64" s="60"/>
      <c r="R64" s="60"/>
      <c r="S64" s="60"/>
    </row>
    <row r="65" spans="1:19" x14ac:dyDescent="0.35">
      <c r="A65" s="60"/>
      <c r="B65" s="60"/>
      <c r="C65" s="60"/>
      <c r="D65" s="60"/>
      <c r="E65" s="425"/>
      <c r="F65" s="76">
        <v>2028</v>
      </c>
      <c r="G65" s="84">
        <v>1374</v>
      </c>
      <c r="H65" s="81">
        <v>2.87E-2</v>
      </c>
      <c r="I65" s="81">
        <v>1.3754</v>
      </c>
      <c r="J65" s="81">
        <v>1.3008611E-2</v>
      </c>
      <c r="K65" s="60"/>
      <c r="L65" s="60"/>
      <c r="M65" s="60"/>
      <c r="N65" s="60"/>
      <c r="O65" s="60"/>
      <c r="P65" s="60"/>
      <c r="Q65" s="60"/>
      <c r="R65" s="60"/>
      <c r="S65" s="60"/>
    </row>
    <row r="66" spans="1:19" x14ac:dyDescent="0.35">
      <c r="A66" s="60"/>
      <c r="B66" s="60"/>
      <c r="C66" s="60"/>
      <c r="D66" s="60"/>
      <c r="E66" s="425"/>
      <c r="F66" s="76">
        <v>2029</v>
      </c>
      <c r="G66" s="84">
        <v>1343</v>
      </c>
      <c r="H66" s="81">
        <v>2.86E-2</v>
      </c>
      <c r="I66" s="81">
        <v>1.3616999999999999</v>
      </c>
      <c r="J66" s="81">
        <v>1.2720679E-2</v>
      </c>
      <c r="K66" s="60"/>
      <c r="L66" s="60"/>
      <c r="M66" s="60"/>
      <c r="N66" s="60"/>
      <c r="O66" s="60"/>
      <c r="P66" s="60"/>
      <c r="Q66" s="60"/>
      <c r="R66" s="60"/>
      <c r="S66" s="60"/>
    </row>
    <row r="67" spans="1:19" x14ac:dyDescent="0.35">
      <c r="A67" s="60"/>
      <c r="B67" s="60"/>
      <c r="C67" s="60"/>
      <c r="D67" s="60"/>
      <c r="E67" s="425"/>
      <c r="F67" s="76">
        <v>2030</v>
      </c>
      <c r="G67" s="84">
        <v>1318</v>
      </c>
      <c r="H67" s="81">
        <v>2.8500000000000001E-2</v>
      </c>
      <c r="I67" s="81">
        <v>1.3502000000000001</v>
      </c>
      <c r="J67" s="81">
        <v>1.2479499999999999E-2</v>
      </c>
      <c r="K67" s="60"/>
      <c r="L67" s="60"/>
      <c r="M67" s="60"/>
      <c r="N67" s="60"/>
      <c r="O67" s="60"/>
      <c r="P67" s="60"/>
      <c r="Q67" s="60"/>
      <c r="R67" s="60"/>
      <c r="S67" s="60"/>
    </row>
    <row r="68" spans="1:19" x14ac:dyDescent="0.35">
      <c r="A68" s="60"/>
      <c r="B68" s="60"/>
      <c r="C68" s="60"/>
      <c r="D68" s="60"/>
      <c r="E68" s="425"/>
      <c r="F68" s="76">
        <v>2031</v>
      </c>
      <c r="G68" s="84">
        <v>1297</v>
      </c>
      <c r="H68" s="81">
        <v>2.8400000000000002E-2</v>
      </c>
      <c r="I68" s="81">
        <v>1.3407</v>
      </c>
      <c r="J68" s="81">
        <v>1.2279122E-2</v>
      </c>
      <c r="K68" s="60"/>
      <c r="L68" s="60"/>
      <c r="M68" s="60"/>
      <c r="N68" s="60"/>
      <c r="O68" s="60"/>
      <c r="P68" s="60"/>
      <c r="Q68" s="60"/>
      <c r="R68" s="60"/>
      <c r="S68" s="60"/>
    </row>
    <row r="69" spans="1:19" x14ac:dyDescent="0.35">
      <c r="A69" s="60"/>
      <c r="B69" s="60"/>
      <c r="C69" s="60"/>
      <c r="D69" s="60"/>
      <c r="E69" s="425"/>
      <c r="F69" s="76">
        <v>2032</v>
      </c>
      <c r="G69" s="84">
        <v>1279</v>
      </c>
      <c r="H69" s="81">
        <v>2.8299999999999999E-2</v>
      </c>
      <c r="I69" s="81">
        <v>1.3323</v>
      </c>
      <c r="J69" s="81">
        <v>1.2115727999999999E-2</v>
      </c>
      <c r="K69" s="60"/>
      <c r="L69" s="60"/>
      <c r="M69" s="60"/>
      <c r="N69" s="60"/>
      <c r="O69" s="60"/>
      <c r="P69" s="60"/>
      <c r="Q69" s="60"/>
      <c r="R69" s="60"/>
      <c r="S69" s="60"/>
    </row>
    <row r="70" spans="1:19" x14ac:dyDescent="0.35">
      <c r="A70" s="60"/>
      <c r="B70" s="60"/>
      <c r="C70" s="60"/>
      <c r="D70" s="60"/>
      <c r="E70" s="425"/>
      <c r="F70" s="76">
        <v>2033</v>
      </c>
      <c r="G70" s="84">
        <v>1266</v>
      </c>
      <c r="H70" s="81">
        <v>2.8299999999999999E-2</v>
      </c>
      <c r="I70" s="81">
        <v>1.3248</v>
      </c>
      <c r="J70" s="81">
        <v>1.1986009000000001E-2</v>
      </c>
      <c r="K70" s="60"/>
      <c r="L70" s="60"/>
      <c r="M70" s="60"/>
      <c r="N70" s="60"/>
      <c r="O70" s="60"/>
      <c r="P70" s="60"/>
      <c r="Q70" s="60"/>
      <c r="R70" s="60"/>
      <c r="S70" s="60"/>
    </row>
    <row r="71" spans="1:19" x14ac:dyDescent="0.35">
      <c r="A71" s="60"/>
      <c r="B71" s="60"/>
      <c r="C71" s="60"/>
      <c r="D71" s="60"/>
      <c r="E71" s="425"/>
      <c r="F71" s="76">
        <v>2034</v>
      </c>
      <c r="G71" s="84">
        <v>1255</v>
      </c>
      <c r="H71" s="81">
        <v>2.8199999999999999E-2</v>
      </c>
      <c r="I71" s="81">
        <v>1.3196000000000001</v>
      </c>
      <c r="J71" s="81">
        <v>1.1883805000000001E-2</v>
      </c>
      <c r="K71" s="60"/>
      <c r="L71" s="60"/>
      <c r="M71" s="60"/>
      <c r="N71" s="60"/>
      <c r="O71" s="60"/>
      <c r="P71" s="60"/>
      <c r="Q71" s="60"/>
      <c r="R71" s="60"/>
      <c r="S71" s="60"/>
    </row>
    <row r="72" spans="1:19" x14ac:dyDescent="0.35">
      <c r="A72" s="60"/>
      <c r="B72" s="60"/>
      <c r="C72" s="60"/>
      <c r="D72" s="60"/>
      <c r="E72" s="425"/>
      <c r="F72" s="76">
        <v>2035</v>
      </c>
      <c r="G72" s="84">
        <v>1247</v>
      </c>
      <c r="H72" s="81">
        <v>2.81E-2</v>
      </c>
      <c r="I72" s="81">
        <v>1.3156000000000001</v>
      </c>
      <c r="J72" s="81">
        <v>1.1803711E-2</v>
      </c>
      <c r="K72" s="60"/>
      <c r="L72" s="60"/>
      <c r="M72" s="60"/>
      <c r="N72" s="60"/>
      <c r="O72" s="60"/>
      <c r="P72" s="60"/>
      <c r="Q72" s="60"/>
      <c r="R72" s="60"/>
      <c r="S72" s="60"/>
    </row>
    <row r="73" spans="1:19" x14ac:dyDescent="0.35">
      <c r="A73" s="60"/>
      <c r="B73" s="60"/>
      <c r="C73" s="60"/>
      <c r="D73" s="60"/>
      <c r="E73" s="425"/>
      <c r="F73" s="76">
        <v>2036</v>
      </c>
      <c r="G73" s="84">
        <v>1240</v>
      </c>
      <c r="H73" s="81">
        <v>2.8000000000000001E-2</v>
      </c>
      <c r="I73" s="81">
        <v>1.3101</v>
      </c>
      <c r="J73" s="81">
        <v>1.1737744E-2</v>
      </c>
      <c r="K73" s="60"/>
      <c r="L73" s="60"/>
      <c r="M73" s="60"/>
      <c r="N73" s="60"/>
      <c r="O73" s="60"/>
      <c r="P73" s="60"/>
      <c r="Q73" s="60"/>
      <c r="R73" s="60"/>
      <c r="S73" s="60"/>
    </row>
    <row r="74" spans="1:19" x14ac:dyDescent="0.35">
      <c r="A74" s="60"/>
      <c r="B74" s="60"/>
      <c r="C74" s="60"/>
      <c r="D74" s="60"/>
      <c r="E74" s="425"/>
      <c r="F74" s="76">
        <v>2037</v>
      </c>
      <c r="G74" s="84">
        <v>1234</v>
      </c>
      <c r="H74" s="81">
        <v>2.8000000000000001E-2</v>
      </c>
      <c r="I74" s="81">
        <v>1.3069999999999999</v>
      </c>
      <c r="J74" s="81">
        <v>1.1689021000000001E-2</v>
      </c>
      <c r="K74" s="60"/>
      <c r="L74" s="60"/>
      <c r="M74" s="60"/>
      <c r="N74" s="60"/>
      <c r="O74" s="60"/>
      <c r="P74" s="60"/>
      <c r="Q74" s="60"/>
      <c r="R74" s="60"/>
      <c r="S74" s="60"/>
    </row>
    <row r="75" spans="1:19" x14ac:dyDescent="0.35">
      <c r="A75" s="60"/>
      <c r="B75" s="60"/>
      <c r="C75" s="60"/>
      <c r="D75" s="60"/>
      <c r="E75" s="425"/>
      <c r="F75" s="76">
        <v>2038</v>
      </c>
      <c r="G75" s="84">
        <v>1230</v>
      </c>
      <c r="H75" s="81">
        <v>2.7699999999999999E-2</v>
      </c>
      <c r="I75" s="81">
        <v>1.3036000000000001</v>
      </c>
      <c r="J75" s="81">
        <v>1.1646465999999999E-2</v>
      </c>
      <c r="K75" s="60"/>
      <c r="L75" s="60"/>
      <c r="M75" s="60"/>
      <c r="N75" s="60"/>
      <c r="O75" s="60"/>
      <c r="P75" s="60"/>
      <c r="Q75" s="60"/>
      <c r="R75" s="60"/>
      <c r="S75" s="60"/>
    </row>
    <row r="76" spans="1:19" x14ac:dyDescent="0.35">
      <c r="A76" s="60"/>
      <c r="B76" s="60"/>
      <c r="C76" s="60"/>
      <c r="D76" s="60"/>
      <c r="E76" s="425"/>
      <c r="F76" s="76">
        <v>2039</v>
      </c>
      <c r="G76" s="84">
        <v>1227</v>
      </c>
      <c r="H76" s="81">
        <v>2.7699999999999999E-2</v>
      </c>
      <c r="I76" s="81">
        <v>1.3009999999999999</v>
      </c>
      <c r="J76" s="81">
        <v>1.1616911000000001E-2</v>
      </c>
      <c r="K76" s="60"/>
      <c r="L76" s="60"/>
      <c r="M76" s="60"/>
      <c r="N76" s="60"/>
      <c r="O76" s="60"/>
      <c r="P76" s="60"/>
      <c r="Q76" s="60"/>
      <c r="R76" s="60"/>
      <c r="S76" s="60"/>
    </row>
    <row r="77" spans="1:19" x14ac:dyDescent="0.35">
      <c r="A77" s="60"/>
      <c r="B77" s="60"/>
      <c r="C77" s="60"/>
      <c r="D77" s="60"/>
      <c r="E77" s="425"/>
      <c r="F77" s="76">
        <v>2040</v>
      </c>
      <c r="G77" s="84">
        <v>1224</v>
      </c>
      <c r="H77" s="81">
        <v>2.76E-2</v>
      </c>
      <c r="I77" s="81">
        <v>1.2986</v>
      </c>
      <c r="J77" s="81">
        <v>1.1593927E-2</v>
      </c>
      <c r="K77" s="60"/>
      <c r="L77" s="60"/>
      <c r="M77" s="60"/>
      <c r="N77" s="60"/>
      <c r="O77" s="60"/>
      <c r="P77" s="60"/>
      <c r="Q77" s="60"/>
      <c r="R77" s="60"/>
      <c r="S77" s="60"/>
    </row>
    <row r="78" spans="1:19" x14ac:dyDescent="0.35">
      <c r="A78" s="60"/>
      <c r="B78" s="60"/>
      <c r="C78" s="60"/>
      <c r="D78" s="60"/>
      <c r="E78" s="425"/>
      <c r="F78" s="76">
        <v>2041</v>
      </c>
      <c r="G78" s="84">
        <v>1222</v>
      </c>
      <c r="H78" s="81">
        <v>2.76E-2</v>
      </c>
      <c r="I78" s="81">
        <v>1.2963</v>
      </c>
      <c r="J78" s="81">
        <v>1.1576121E-2</v>
      </c>
      <c r="K78" s="60"/>
      <c r="L78" s="60"/>
      <c r="M78" s="60"/>
      <c r="N78" s="60"/>
      <c r="O78" s="60"/>
      <c r="P78" s="60"/>
      <c r="Q78" s="60"/>
      <c r="R78" s="60"/>
      <c r="S78" s="60"/>
    </row>
    <row r="79" spans="1:19" x14ac:dyDescent="0.35">
      <c r="A79" s="60"/>
      <c r="B79" s="60"/>
      <c r="C79" s="60"/>
      <c r="D79" s="60"/>
      <c r="E79" s="425"/>
      <c r="F79" s="76">
        <v>2042</v>
      </c>
      <c r="G79" s="84">
        <v>1221</v>
      </c>
      <c r="H79" s="81">
        <v>2.75E-2</v>
      </c>
      <c r="I79" s="81">
        <v>1.2945</v>
      </c>
      <c r="J79" s="81">
        <v>1.15624E-2</v>
      </c>
      <c r="K79" s="60"/>
      <c r="L79" s="60"/>
      <c r="M79" s="60"/>
      <c r="N79" s="60"/>
      <c r="O79" s="60"/>
      <c r="P79" s="60"/>
      <c r="Q79" s="60"/>
      <c r="R79" s="60"/>
      <c r="S79" s="60"/>
    </row>
    <row r="80" spans="1:19" x14ac:dyDescent="0.35">
      <c r="A80" s="60"/>
      <c r="B80" s="60"/>
      <c r="C80" s="60"/>
      <c r="D80" s="60"/>
      <c r="E80" s="425"/>
      <c r="F80" s="76">
        <v>2043</v>
      </c>
      <c r="G80" s="85">
        <v>1220</v>
      </c>
      <c r="H80" s="81">
        <v>2.75E-2</v>
      </c>
      <c r="I80" s="81">
        <v>1.2931999999999999</v>
      </c>
      <c r="J80" s="81">
        <v>1.1551840000000001E-2</v>
      </c>
      <c r="K80" s="60"/>
      <c r="L80" s="60"/>
      <c r="M80" s="60"/>
      <c r="N80" s="60"/>
      <c r="O80" s="60"/>
      <c r="P80" s="60"/>
      <c r="Q80" s="60"/>
      <c r="R80" s="60"/>
      <c r="S80" s="60"/>
    </row>
    <row r="81" spans="1:19" x14ac:dyDescent="0.35">
      <c r="A81" s="60"/>
      <c r="B81" s="60"/>
      <c r="C81" s="60"/>
      <c r="D81" s="60"/>
      <c r="E81" s="425"/>
      <c r="F81" s="76">
        <v>2044</v>
      </c>
      <c r="G81" s="85">
        <v>1219</v>
      </c>
      <c r="H81" s="81">
        <v>2.7400000000000001E-2</v>
      </c>
      <c r="I81" s="81">
        <v>1.2923</v>
      </c>
      <c r="J81" s="81">
        <v>1.1543754999999999E-2</v>
      </c>
      <c r="K81" s="60"/>
      <c r="L81" s="60"/>
      <c r="M81" s="60"/>
      <c r="N81" s="60"/>
      <c r="O81" s="60"/>
      <c r="P81" s="60"/>
      <c r="Q81" s="60"/>
      <c r="R81" s="60"/>
      <c r="S81" s="60"/>
    </row>
    <row r="82" spans="1:19" x14ac:dyDescent="0.35">
      <c r="A82" s="60"/>
      <c r="B82" s="60"/>
      <c r="C82" s="60"/>
      <c r="D82" s="60"/>
      <c r="E82" s="425"/>
      <c r="F82" s="76">
        <v>2045</v>
      </c>
      <c r="G82" s="85">
        <v>1218</v>
      </c>
      <c r="H82" s="81">
        <v>2.7400000000000001E-2</v>
      </c>
      <c r="I82" s="81">
        <v>1.2918000000000001</v>
      </c>
      <c r="J82" s="81">
        <v>1.1537594999999999E-2</v>
      </c>
      <c r="K82" s="60"/>
      <c r="L82" s="60"/>
      <c r="M82" s="60"/>
      <c r="N82" s="60"/>
      <c r="O82" s="60"/>
      <c r="P82" s="60"/>
      <c r="Q82" s="60"/>
      <c r="R82" s="60"/>
      <c r="S82" s="60"/>
    </row>
    <row r="83" spans="1:19" x14ac:dyDescent="0.35">
      <c r="A83" s="60"/>
      <c r="B83" s="60"/>
      <c r="C83" s="60"/>
      <c r="D83" s="60"/>
      <c r="E83" s="425"/>
      <c r="F83" s="76">
        <v>2046</v>
      </c>
      <c r="G83" s="85">
        <v>1218</v>
      </c>
      <c r="H83" s="81">
        <v>2.7400000000000001E-2</v>
      </c>
      <c r="I83" s="81">
        <v>1.2916000000000001</v>
      </c>
      <c r="J83" s="81">
        <v>1.1532898E-2</v>
      </c>
      <c r="K83" s="60"/>
      <c r="L83" s="60"/>
      <c r="M83" s="60"/>
      <c r="N83" s="60"/>
      <c r="O83" s="60"/>
      <c r="P83" s="60"/>
      <c r="Q83" s="60"/>
      <c r="R83" s="60"/>
      <c r="S83" s="60"/>
    </row>
    <row r="84" spans="1:19" x14ac:dyDescent="0.35">
      <c r="A84" s="60"/>
      <c r="B84" s="60"/>
      <c r="C84" s="60"/>
      <c r="D84" s="60"/>
      <c r="E84" s="425"/>
      <c r="F84" s="76">
        <v>2047</v>
      </c>
      <c r="G84" s="81">
        <v>1217.5</v>
      </c>
      <c r="H84" s="81">
        <v>2.7400000000000001E-2</v>
      </c>
      <c r="I84" s="81">
        <v>1.2916000000000001</v>
      </c>
      <c r="J84" s="81">
        <v>1.1529309999999999E-2</v>
      </c>
      <c r="K84" s="60"/>
      <c r="L84" s="60"/>
      <c r="M84" s="60"/>
      <c r="N84" s="60"/>
      <c r="O84" s="60"/>
      <c r="P84" s="60"/>
      <c r="Q84" s="60"/>
      <c r="R84" s="60"/>
      <c r="S84" s="60"/>
    </row>
    <row r="85" spans="1:19" x14ac:dyDescent="0.35">
      <c r="A85" s="60"/>
      <c r="B85" s="60"/>
      <c r="C85" s="60"/>
      <c r="D85" s="60"/>
      <c r="E85" s="425"/>
      <c r="F85" s="76">
        <v>2048</v>
      </c>
      <c r="G85" s="81">
        <v>1217.2429999999999</v>
      </c>
      <c r="H85" s="81">
        <v>2.7400000000000001E-2</v>
      </c>
      <c r="I85" s="81">
        <v>1.2917000000000001</v>
      </c>
      <c r="J85" s="81">
        <v>1.1526563E-2</v>
      </c>
      <c r="K85" s="60"/>
      <c r="L85" s="60"/>
      <c r="M85" s="60"/>
      <c r="N85" s="60"/>
      <c r="O85" s="60"/>
      <c r="P85" s="60"/>
      <c r="Q85" s="60"/>
      <c r="R85" s="60"/>
      <c r="S85" s="60"/>
    </row>
    <row r="86" spans="1:19" x14ac:dyDescent="0.35">
      <c r="A86" s="60"/>
      <c r="B86" s="60"/>
      <c r="C86" s="60"/>
      <c r="D86" s="60"/>
      <c r="E86" s="425"/>
      <c r="F86" s="76">
        <v>2049</v>
      </c>
      <c r="G86" s="81">
        <v>1217.0201999999999</v>
      </c>
      <c r="H86" s="81">
        <v>2.7400000000000001E-2</v>
      </c>
      <c r="I86" s="81">
        <v>1.2917000000000001</v>
      </c>
      <c r="J86" s="81">
        <v>1.1524454E-2</v>
      </c>
      <c r="K86" s="60"/>
      <c r="L86" s="60"/>
      <c r="M86" s="60"/>
      <c r="N86" s="60"/>
      <c r="O86" s="60"/>
      <c r="P86" s="60"/>
      <c r="Q86" s="60"/>
      <c r="R86" s="60"/>
      <c r="S86" s="60"/>
    </row>
    <row r="87" spans="1:19" x14ac:dyDescent="0.35">
      <c r="A87" s="60"/>
      <c r="B87" s="60"/>
      <c r="C87" s="60"/>
      <c r="D87" s="60"/>
      <c r="E87" s="426"/>
      <c r="F87" s="76">
        <v>2050</v>
      </c>
      <c r="G87" s="81">
        <v>1216.8485000000001</v>
      </c>
      <c r="H87" s="81">
        <v>2.75E-2</v>
      </c>
      <c r="I87" s="81">
        <v>1.2918000000000001</v>
      </c>
      <c r="J87" s="81">
        <v>1.1522826999999999E-2</v>
      </c>
      <c r="K87" s="60"/>
      <c r="L87" s="60"/>
      <c r="M87" s="60"/>
      <c r="N87" s="60"/>
      <c r="O87" s="60"/>
      <c r="P87" s="60"/>
      <c r="Q87" s="60"/>
      <c r="R87" s="60"/>
      <c r="S87" s="60"/>
    </row>
    <row r="88" spans="1:19" x14ac:dyDescent="0.35">
      <c r="A88" s="60"/>
      <c r="B88" s="60"/>
      <c r="C88" s="60"/>
      <c r="D88" s="60"/>
      <c r="E88" s="60"/>
      <c r="F88" s="60"/>
      <c r="G88" s="60"/>
      <c r="H88" s="60"/>
      <c r="I88" s="60"/>
      <c r="J88" s="60"/>
      <c r="K88" s="60"/>
      <c r="L88" s="60"/>
      <c r="M88" s="60"/>
      <c r="N88" s="60"/>
      <c r="O88" s="60"/>
      <c r="P88" s="60"/>
      <c r="Q88" s="60"/>
      <c r="R88" s="60"/>
      <c r="S88" s="60"/>
    </row>
    <row r="89" spans="1:19" x14ac:dyDescent="0.35">
      <c r="A89" s="60"/>
      <c r="B89" s="60"/>
      <c r="C89" s="60"/>
      <c r="D89" s="60"/>
      <c r="E89" s="60"/>
      <c r="F89" s="60"/>
      <c r="G89" s="60"/>
      <c r="H89" s="60"/>
      <c r="I89" s="60"/>
      <c r="J89" s="60"/>
      <c r="K89" s="60"/>
      <c r="L89" s="60"/>
      <c r="M89" s="60"/>
      <c r="N89" s="60"/>
      <c r="O89" s="60"/>
      <c r="P89" s="60"/>
      <c r="Q89" s="60"/>
      <c r="R89" s="60"/>
      <c r="S89" s="60"/>
    </row>
    <row r="90" spans="1:19" x14ac:dyDescent="0.35">
      <c r="A90" s="60"/>
      <c r="B90" s="60"/>
      <c r="C90" s="60"/>
      <c r="E90" s="159" t="s">
        <v>777</v>
      </c>
      <c r="F90" s="60"/>
      <c r="G90" s="60"/>
      <c r="H90" s="60"/>
      <c r="I90" s="60"/>
      <c r="J90" s="60"/>
      <c r="K90" s="60"/>
      <c r="L90" s="60"/>
      <c r="M90" s="60"/>
      <c r="N90" s="60"/>
      <c r="O90" s="60"/>
      <c r="P90" s="60"/>
      <c r="Q90" s="60"/>
      <c r="R90" s="60"/>
      <c r="S90" s="60"/>
    </row>
    <row r="91" spans="1:19" x14ac:dyDescent="0.35">
      <c r="A91" s="60"/>
      <c r="B91" s="60"/>
      <c r="C91" s="60"/>
      <c r="D91" s="60"/>
      <c r="E91" s="81" t="s">
        <v>778</v>
      </c>
      <c r="F91" s="81" t="s">
        <v>759</v>
      </c>
      <c r="G91" s="81" t="s">
        <v>779</v>
      </c>
      <c r="H91" s="81" t="s">
        <v>758</v>
      </c>
      <c r="I91" s="81" t="s">
        <v>757</v>
      </c>
      <c r="J91" s="60"/>
      <c r="K91" s="60"/>
      <c r="L91" s="60"/>
      <c r="M91" s="60"/>
      <c r="N91" s="60"/>
      <c r="O91" s="60"/>
      <c r="P91" s="60"/>
      <c r="Q91" s="60"/>
      <c r="R91" s="60"/>
      <c r="S91" s="60"/>
    </row>
    <row r="92" spans="1:19" x14ac:dyDescent="0.35">
      <c r="A92" s="60"/>
      <c r="B92" s="60"/>
      <c r="C92" s="60"/>
      <c r="D92" s="60"/>
      <c r="E92" s="81">
        <v>2022</v>
      </c>
      <c r="F92" s="81">
        <v>16600</v>
      </c>
      <c r="G92" s="81">
        <v>44300</v>
      </c>
      <c r="H92" s="81">
        <v>796700</v>
      </c>
      <c r="I92" s="81">
        <v>56</v>
      </c>
      <c r="J92" s="60"/>
      <c r="K92" s="60"/>
      <c r="L92" s="60"/>
      <c r="M92" s="60"/>
      <c r="N92" s="60"/>
      <c r="O92" s="60"/>
      <c r="P92" s="60"/>
      <c r="Q92" s="60"/>
      <c r="R92" s="60"/>
      <c r="S92" s="60"/>
    </row>
    <row r="93" spans="1:19" x14ac:dyDescent="0.35">
      <c r="A93" s="60"/>
      <c r="B93" s="60"/>
      <c r="C93" s="60"/>
      <c r="D93" s="60"/>
      <c r="E93" s="81">
        <f>E92+1</f>
        <v>2023</v>
      </c>
      <c r="F93" s="81">
        <v>16800</v>
      </c>
      <c r="G93" s="81">
        <v>45100</v>
      </c>
      <c r="H93" s="81">
        <v>810500</v>
      </c>
      <c r="I93" s="81">
        <v>57</v>
      </c>
      <c r="J93" s="60"/>
      <c r="K93" s="60"/>
      <c r="L93" s="60"/>
      <c r="M93" s="60"/>
      <c r="N93" s="60"/>
      <c r="O93" s="60"/>
      <c r="P93" s="60"/>
      <c r="Q93" s="60"/>
      <c r="R93" s="60"/>
      <c r="S93" s="60"/>
    </row>
    <row r="94" spans="1:19" x14ac:dyDescent="0.35">
      <c r="A94" s="60"/>
      <c r="B94" s="60"/>
      <c r="C94" s="60"/>
      <c r="D94" s="60"/>
      <c r="E94" s="81">
        <f t="shared" ref="E94:E120" si="0">E93+1</f>
        <v>2024</v>
      </c>
      <c r="F94" s="81">
        <v>17000</v>
      </c>
      <c r="G94" s="81">
        <v>46000</v>
      </c>
      <c r="H94" s="81">
        <v>824500</v>
      </c>
      <c r="I94" s="81">
        <v>58</v>
      </c>
      <c r="J94" s="60"/>
      <c r="K94" s="60"/>
      <c r="L94" s="60"/>
      <c r="M94" s="60"/>
      <c r="N94" s="60"/>
      <c r="O94" s="60"/>
      <c r="P94" s="60"/>
      <c r="Q94" s="60"/>
      <c r="R94" s="60"/>
      <c r="S94" s="60"/>
    </row>
    <row r="95" spans="1:19" x14ac:dyDescent="0.35">
      <c r="A95" s="60"/>
      <c r="B95" s="60"/>
      <c r="C95" s="60"/>
      <c r="D95" s="60"/>
      <c r="E95" s="81">
        <f t="shared" si="0"/>
        <v>2025</v>
      </c>
      <c r="F95" s="81">
        <v>17200</v>
      </c>
      <c r="G95" s="81">
        <v>46900</v>
      </c>
      <c r="H95" s="81">
        <v>838800</v>
      </c>
      <c r="I95" s="81">
        <v>59</v>
      </c>
      <c r="J95" s="60"/>
      <c r="K95" s="60"/>
      <c r="L95" s="60"/>
      <c r="M95" s="60"/>
      <c r="N95" s="60"/>
      <c r="O95" s="60"/>
      <c r="P95" s="60"/>
      <c r="Q95" s="60"/>
      <c r="R95" s="60"/>
      <c r="S95" s="60"/>
    </row>
    <row r="96" spans="1:19" x14ac:dyDescent="0.35">
      <c r="A96" s="60"/>
      <c r="B96" s="60"/>
      <c r="C96" s="60"/>
      <c r="D96" s="60"/>
      <c r="E96" s="81">
        <f t="shared" si="0"/>
        <v>2026</v>
      </c>
      <c r="F96" s="81">
        <v>17500</v>
      </c>
      <c r="G96" s="81">
        <v>47800</v>
      </c>
      <c r="H96" s="81">
        <v>852100</v>
      </c>
      <c r="I96" s="81">
        <v>60</v>
      </c>
      <c r="J96" s="60"/>
      <c r="K96" s="60"/>
      <c r="L96" s="60"/>
      <c r="M96" s="60"/>
      <c r="N96" s="60"/>
      <c r="O96" s="60"/>
      <c r="P96" s="60"/>
      <c r="Q96" s="60"/>
      <c r="R96" s="60"/>
      <c r="S96" s="60"/>
    </row>
    <row r="97" spans="1:19" x14ac:dyDescent="0.35">
      <c r="A97" s="60"/>
      <c r="B97" s="60"/>
      <c r="C97" s="60"/>
      <c r="D97" s="60"/>
      <c r="E97" s="81">
        <f t="shared" si="0"/>
        <v>2027</v>
      </c>
      <c r="F97" s="81">
        <v>17900</v>
      </c>
      <c r="G97" s="81">
        <v>48700</v>
      </c>
      <c r="H97" s="81">
        <v>865600</v>
      </c>
      <c r="I97" s="81">
        <v>61</v>
      </c>
      <c r="J97" s="60"/>
      <c r="K97" s="60"/>
      <c r="L97" s="60"/>
      <c r="M97" s="60"/>
      <c r="N97" s="60"/>
      <c r="O97" s="60"/>
      <c r="P97" s="60"/>
      <c r="Q97" s="60"/>
      <c r="R97" s="60"/>
      <c r="S97" s="60"/>
    </row>
    <row r="98" spans="1:19" x14ac:dyDescent="0.35">
      <c r="A98" s="60"/>
      <c r="B98" s="60"/>
      <c r="C98" s="60"/>
      <c r="D98" s="60"/>
      <c r="E98" s="81">
        <f t="shared" si="0"/>
        <v>2028</v>
      </c>
      <c r="F98" s="81">
        <v>18200</v>
      </c>
      <c r="G98" s="81">
        <v>49500</v>
      </c>
      <c r="H98" s="81">
        <v>879400</v>
      </c>
      <c r="I98" s="81">
        <v>62</v>
      </c>
      <c r="J98" s="60"/>
      <c r="K98" s="60"/>
      <c r="L98" s="60"/>
      <c r="M98" s="60"/>
      <c r="N98" s="60"/>
      <c r="O98" s="60"/>
      <c r="P98" s="60"/>
      <c r="Q98" s="60"/>
      <c r="R98" s="60"/>
      <c r="S98" s="60"/>
    </row>
    <row r="99" spans="1:19" x14ac:dyDescent="0.35">
      <c r="A99" s="60"/>
      <c r="B99" s="60"/>
      <c r="C99" s="60"/>
      <c r="D99" s="60"/>
      <c r="E99" s="81">
        <f t="shared" si="0"/>
        <v>2029</v>
      </c>
      <c r="F99" s="81">
        <v>18600</v>
      </c>
      <c r="G99" s="81">
        <v>50400</v>
      </c>
      <c r="H99" s="81">
        <v>893400</v>
      </c>
      <c r="I99" s="81">
        <v>63</v>
      </c>
      <c r="J99" s="60"/>
      <c r="K99" s="60"/>
      <c r="L99" s="60"/>
      <c r="M99" s="60"/>
      <c r="N99" s="60"/>
      <c r="O99" s="60"/>
      <c r="P99" s="60"/>
      <c r="Q99" s="60"/>
      <c r="R99" s="60"/>
      <c r="S99" s="60"/>
    </row>
    <row r="100" spans="1:19" x14ac:dyDescent="0.35">
      <c r="A100" s="60"/>
      <c r="B100" s="60"/>
      <c r="C100" s="60"/>
      <c r="D100" s="60"/>
      <c r="E100" s="81">
        <f t="shared" si="0"/>
        <v>2030</v>
      </c>
      <c r="F100" s="81">
        <v>18900</v>
      </c>
      <c r="G100" s="81">
        <v>51200</v>
      </c>
      <c r="H100" s="81">
        <v>907600</v>
      </c>
      <c r="I100" s="81">
        <v>65</v>
      </c>
      <c r="J100" s="60"/>
      <c r="K100" s="60"/>
      <c r="L100" s="60"/>
      <c r="M100" s="60"/>
      <c r="N100" s="60"/>
      <c r="O100" s="60"/>
      <c r="P100" s="60"/>
      <c r="Q100" s="60"/>
      <c r="R100" s="60"/>
      <c r="S100" s="60"/>
    </row>
    <row r="101" spans="1:19" x14ac:dyDescent="0.35">
      <c r="A101" s="60"/>
      <c r="B101" s="60"/>
      <c r="C101" s="60"/>
      <c r="D101" s="60"/>
      <c r="E101" s="81">
        <f t="shared" si="0"/>
        <v>2031</v>
      </c>
      <c r="F101" s="81">
        <f>$F$100</f>
        <v>18900</v>
      </c>
      <c r="G101" s="81">
        <f>$G$100</f>
        <v>51200</v>
      </c>
      <c r="H101" s="81">
        <f>$H$100</f>
        <v>907600</v>
      </c>
      <c r="I101" s="81">
        <v>66</v>
      </c>
      <c r="J101" s="60"/>
      <c r="K101" s="60"/>
      <c r="L101" s="60"/>
      <c r="M101" s="60"/>
      <c r="N101" s="60"/>
      <c r="O101" s="60"/>
      <c r="P101" s="60"/>
      <c r="Q101" s="60"/>
      <c r="R101" s="60"/>
      <c r="S101" s="60"/>
    </row>
    <row r="102" spans="1:19" x14ac:dyDescent="0.35">
      <c r="A102" s="60"/>
      <c r="B102" s="60"/>
      <c r="C102" s="60"/>
      <c r="D102" s="60"/>
      <c r="E102" s="81">
        <f t="shared" si="0"/>
        <v>2032</v>
      </c>
      <c r="F102" s="81">
        <f t="shared" ref="F102:F120" si="1">$F$100</f>
        <v>18900</v>
      </c>
      <c r="G102" s="81">
        <f t="shared" ref="G102:G120" si="2">$G$100</f>
        <v>51200</v>
      </c>
      <c r="H102" s="81">
        <f t="shared" ref="H102:H120" si="3">$H$100</f>
        <v>907600</v>
      </c>
      <c r="I102" s="81">
        <v>67</v>
      </c>
      <c r="J102" s="60"/>
      <c r="K102" s="60"/>
      <c r="L102" s="60"/>
      <c r="M102" s="60"/>
      <c r="N102" s="60"/>
      <c r="O102" s="60"/>
      <c r="P102" s="60"/>
      <c r="Q102" s="60"/>
      <c r="R102" s="60"/>
      <c r="S102" s="60"/>
    </row>
    <row r="103" spans="1:19" x14ac:dyDescent="0.35">
      <c r="A103" s="60"/>
      <c r="B103" s="60"/>
      <c r="C103" s="60"/>
      <c r="D103" s="60"/>
      <c r="E103" s="81">
        <f t="shared" si="0"/>
        <v>2033</v>
      </c>
      <c r="F103" s="81">
        <f t="shared" si="1"/>
        <v>18900</v>
      </c>
      <c r="G103" s="81">
        <f t="shared" si="2"/>
        <v>51200</v>
      </c>
      <c r="H103" s="81">
        <f t="shared" si="3"/>
        <v>907600</v>
      </c>
      <c r="I103" s="81">
        <v>68</v>
      </c>
      <c r="J103" s="60"/>
      <c r="K103" s="60"/>
      <c r="L103" s="60"/>
      <c r="M103" s="60"/>
      <c r="N103" s="60"/>
      <c r="O103" s="60"/>
      <c r="P103" s="60"/>
      <c r="Q103" s="60"/>
      <c r="R103" s="60"/>
      <c r="S103" s="60"/>
    </row>
    <row r="104" spans="1:19" x14ac:dyDescent="0.35">
      <c r="A104" s="60"/>
      <c r="B104" s="60"/>
      <c r="C104" s="60"/>
      <c r="D104" s="60"/>
      <c r="E104" s="81">
        <f t="shared" si="0"/>
        <v>2034</v>
      </c>
      <c r="F104" s="81">
        <f t="shared" si="1"/>
        <v>18900</v>
      </c>
      <c r="G104" s="81">
        <f t="shared" si="2"/>
        <v>51200</v>
      </c>
      <c r="H104" s="81">
        <f t="shared" si="3"/>
        <v>907600</v>
      </c>
      <c r="I104" s="81">
        <v>69</v>
      </c>
      <c r="J104" s="60"/>
      <c r="K104" s="60"/>
      <c r="L104" s="60"/>
      <c r="M104" s="60"/>
      <c r="N104" s="60"/>
      <c r="O104" s="60"/>
      <c r="P104" s="60"/>
      <c r="Q104" s="60"/>
      <c r="R104" s="60"/>
      <c r="S104" s="60"/>
    </row>
    <row r="105" spans="1:19" x14ac:dyDescent="0.35">
      <c r="A105" s="60"/>
      <c r="B105" s="60"/>
      <c r="C105" s="60"/>
      <c r="D105" s="60"/>
      <c r="E105" s="81">
        <f t="shared" si="0"/>
        <v>2035</v>
      </c>
      <c r="F105" s="81">
        <f t="shared" si="1"/>
        <v>18900</v>
      </c>
      <c r="G105" s="81">
        <f t="shared" si="2"/>
        <v>51200</v>
      </c>
      <c r="H105" s="81">
        <f t="shared" si="3"/>
        <v>907600</v>
      </c>
      <c r="I105" s="81">
        <v>70</v>
      </c>
      <c r="J105" s="60"/>
      <c r="K105" s="60"/>
      <c r="L105" s="60"/>
      <c r="M105" s="60"/>
      <c r="N105" s="60"/>
      <c r="O105" s="60"/>
      <c r="P105" s="60"/>
      <c r="Q105" s="60"/>
      <c r="R105" s="60"/>
      <c r="S105" s="60"/>
    </row>
    <row r="106" spans="1:19" x14ac:dyDescent="0.35">
      <c r="A106" s="60"/>
      <c r="B106" s="60"/>
      <c r="C106" s="60"/>
      <c r="D106" s="60"/>
      <c r="E106" s="81">
        <f t="shared" si="0"/>
        <v>2036</v>
      </c>
      <c r="F106" s="81">
        <f t="shared" si="1"/>
        <v>18900</v>
      </c>
      <c r="G106" s="81">
        <f t="shared" si="2"/>
        <v>51200</v>
      </c>
      <c r="H106" s="81">
        <f t="shared" si="3"/>
        <v>907600</v>
      </c>
      <c r="I106" s="81">
        <v>72</v>
      </c>
      <c r="J106" s="60"/>
      <c r="K106" s="60"/>
      <c r="L106" s="60"/>
      <c r="M106" s="60"/>
      <c r="N106" s="60"/>
      <c r="O106" s="60"/>
      <c r="P106" s="60"/>
      <c r="Q106" s="60"/>
      <c r="R106" s="60"/>
      <c r="S106" s="60"/>
    </row>
    <row r="107" spans="1:19" x14ac:dyDescent="0.35">
      <c r="A107" s="60"/>
      <c r="B107" s="60"/>
      <c r="C107" s="60"/>
      <c r="D107" s="60"/>
      <c r="E107" s="81">
        <f t="shared" si="0"/>
        <v>2037</v>
      </c>
      <c r="F107" s="81">
        <f t="shared" si="1"/>
        <v>18900</v>
      </c>
      <c r="G107" s="81">
        <f t="shared" si="2"/>
        <v>51200</v>
      </c>
      <c r="H107" s="81">
        <f t="shared" si="3"/>
        <v>907600</v>
      </c>
      <c r="I107" s="81">
        <v>73</v>
      </c>
      <c r="J107" s="60"/>
      <c r="K107" s="60"/>
      <c r="L107" s="60"/>
      <c r="M107" s="60"/>
      <c r="N107" s="60"/>
      <c r="O107" s="60"/>
      <c r="P107" s="60"/>
      <c r="Q107" s="60"/>
      <c r="R107" s="60"/>
      <c r="S107" s="60"/>
    </row>
    <row r="108" spans="1:19" x14ac:dyDescent="0.35">
      <c r="A108" s="60"/>
      <c r="B108" s="60"/>
      <c r="C108" s="60"/>
      <c r="D108" s="60"/>
      <c r="E108" s="81">
        <f t="shared" si="0"/>
        <v>2038</v>
      </c>
      <c r="F108" s="81">
        <f t="shared" si="1"/>
        <v>18900</v>
      </c>
      <c r="G108" s="81">
        <f t="shared" si="2"/>
        <v>51200</v>
      </c>
      <c r="H108" s="81">
        <f t="shared" si="3"/>
        <v>907600</v>
      </c>
      <c r="I108" s="81">
        <v>74</v>
      </c>
      <c r="J108" s="60"/>
      <c r="K108" s="60"/>
      <c r="L108" s="60"/>
      <c r="M108" s="60"/>
      <c r="N108" s="60"/>
      <c r="O108" s="60"/>
      <c r="P108" s="60"/>
      <c r="Q108" s="60"/>
      <c r="R108" s="60"/>
      <c r="S108" s="60"/>
    </row>
    <row r="109" spans="1:19" x14ac:dyDescent="0.35">
      <c r="A109" s="60"/>
      <c r="B109" s="60"/>
      <c r="C109" s="60"/>
      <c r="D109" s="60"/>
      <c r="E109" s="81">
        <f t="shared" si="0"/>
        <v>2039</v>
      </c>
      <c r="F109" s="81">
        <f t="shared" si="1"/>
        <v>18900</v>
      </c>
      <c r="G109" s="81">
        <f t="shared" si="2"/>
        <v>51200</v>
      </c>
      <c r="H109" s="81">
        <f t="shared" si="3"/>
        <v>907600</v>
      </c>
      <c r="I109" s="81">
        <v>75</v>
      </c>
      <c r="J109" s="60"/>
      <c r="K109" s="60"/>
      <c r="L109" s="60"/>
      <c r="M109" s="60"/>
      <c r="N109" s="60"/>
      <c r="O109" s="60"/>
      <c r="P109" s="60"/>
      <c r="Q109" s="60"/>
      <c r="R109" s="60"/>
      <c r="S109" s="60"/>
    </row>
    <row r="110" spans="1:19" x14ac:dyDescent="0.35">
      <c r="A110" s="60"/>
      <c r="B110" s="60"/>
      <c r="C110" s="60"/>
      <c r="D110" s="60"/>
      <c r="E110" s="81">
        <f t="shared" si="0"/>
        <v>2040</v>
      </c>
      <c r="F110" s="81">
        <f t="shared" si="1"/>
        <v>18900</v>
      </c>
      <c r="G110" s="81">
        <f t="shared" si="2"/>
        <v>51200</v>
      </c>
      <c r="H110" s="81">
        <f t="shared" si="3"/>
        <v>907600</v>
      </c>
      <c r="I110" s="81">
        <v>76</v>
      </c>
      <c r="J110" s="60"/>
      <c r="K110" s="60"/>
      <c r="L110" s="60"/>
      <c r="M110" s="60"/>
      <c r="N110" s="60"/>
      <c r="O110" s="60"/>
      <c r="P110" s="60"/>
      <c r="Q110" s="60"/>
      <c r="R110" s="60"/>
      <c r="S110" s="60"/>
    </row>
    <row r="111" spans="1:19" x14ac:dyDescent="0.35">
      <c r="A111" s="60"/>
      <c r="B111" s="60"/>
      <c r="C111" s="60"/>
      <c r="D111" s="60"/>
      <c r="E111" s="81">
        <f t="shared" si="0"/>
        <v>2041</v>
      </c>
      <c r="F111" s="81">
        <f t="shared" si="1"/>
        <v>18900</v>
      </c>
      <c r="G111" s="81">
        <f t="shared" si="2"/>
        <v>51200</v>
      </c>
      <c r="H111" s="81">
        <f t="shared" si="3"/>
        <v>907600</v>
      </c>
      <c r="I111" s="81">
        <v>78</v>
      </c>
      <c r="J111" s="60"/>
      <c r="K111" s="60"/>
      <c r="L111" s="60"/>
      <c r="M111" s="60"/>
      <c r="N111" s="60"/>
      <c r="O111" s="60"/>
      <c r="P111" s="60"/>
      <c r="Q111" s="60"/>
      <c r="R111" s="60"/>
      <c r="S111" s="60"/>
    </row>
    <row r="112" spans="1:19" x14ac:dyDescent="0.35">
      <c r="A112" s="60"/>
      <c r="B112" s="60"/>
      <c r="C112" s="60"/>
      <c r="D112" s="60"/>
      <c r="E112" s="81">
        <f t="shared" si="0"/>
        <v>2042</v>
      </c>
      <c r="F112" s="81">
        <f t="shared" si="1"/>
        <v>18900</v>
      </c>
      <c r="G112" s="81">
        <f t="shared" si="2"/>
        <v>51200</v>
      </c>
      <c r="H112" s="81">
        <f t="shared" si="3"/>
        <v>907600</v>
      </c>
      <c r="I112" s="81">
        <v>79</v>
      </c>
      <c r="J112" s="60"/>
      <c r="K112" s="60"/>
      <c r="L112" s="60"/>
      <c r="M112" s="60"/>
      <c r="N112" s="60"/>
      <c r="O112" s="60"/>
      <c r="P112" s="60"/>
      <c r="Q112" s="60"/>
      <c r="R112" s="60"/>
      <c r="S112" s="60"/>
    </row>
    <row r="113" spans="1:19" x14ac:dyDescent="0.35">
      <c r="A113" s="60"/>
      <c r="B113" s="60"/>
      <c r="C113" s="60"/>
      <c r="D113" s="60"/>
      <c r="E113" s="81">
        <f t="shared" si="0"/>
        <v>2043</v>
      </c>
      <c r="F113" s="81">
        <f t="shared" si="1"/>
        <v>18900</v>
      </c>
      <c r="G113" s="81">
        <f t="shared" si="2"/>
        <v>51200</v>
      </c>
      <c r="H113" s="81">
        <f t="shared" si="3"/>
        <v>907600</v>
      </c>
      <c r="I113" s="81">
        <v>80</v>
      </c>
      <c r="J113" s="60"/>
      <c r="K113" s="60"/>
      <c r="L113" s="60"/>
      <c r="M113" s="60"/>
      <c r="N113" s="60"/>
      <c r="O113" s="60"/>
      <c r="P113" s="60"/>
      <c r="Q113" s="60"/>
      <c r="R113" s="60"/>
      <c r="S113" s="60"/>
    </row>
    <row r="114" spans="1:19" x14ac:dyDescent="0.35">
      <c r="A114" s="60"/>
      <c r="B114" s="60"/>
      <c r="C114" s="60"/>
      <c r="D114" s="60"/>
      <c r="E114" s="81">
        <f t="shared" si="0"/>
        <v>2044</v>
      </c>
      <c r="F114" s="81">
        <f t="shared" si="1"/>
        <v>18900</v>
      </c>
      <c r="G114" s="81">
        <f t="shared" si="2"/>
        <v>51200</v>
      </c>
      <c r="H114" s="81">
        <f t="shared" si="3"/>
        <v>907600</v>
      </c>
      <c r="I114" s="81">
        <v>81</v>
      </c>
      <c r="J114" s="60"/>
      <c r="K114" s="60"/>
      <c r="L114" s="60"/>
      <c r="M114" s="60"/>
      <c r="N114" s="60"/>
      <c r="O114" s="60"/>
      <c r="P114" s="60"/>
      <c r="Q114" s="60"/>
      <c r="R114" s="60"/>
      <c r="S114" s="60"/>
    </row>
    <row r="115" spans="1:19" x14ac:dyDescent="0.35">
      <c r="A115" s="60"/>
      <c r="B115" s="60"/>
      <c r="C115" s="60"/>
      <c r="D115" s="60"/>
      <c r="E115" s="81">
        <f t="shared" si="0"/>
        <v>2045</v>
      </c>
      <c r="F115" s="81">
        <f t="shared" si="1"/>
        <v>18900</v>
      </c>
      <c r="G115" s="81">
        <f t="shared" si="2"/>
        <v>51200</v>
      </c>
      <c r="H115" s="81">
        <f t="shared" si="3"/>
        <v>907600</v>
      </c>
      <c r="I115" s="81">
        <v>82</v>
      </c>
      <c r="J115" s="60"/>
      <c r="K115" s="60"/>
      <c r="L115" s="60"/>
      <c r="M115" s="60"/>
      <c r="N115" s="60"/>
      <c r="O115" s="60"/>
      <c r="P115" s="60"/>
      <c r="Q115" s="60"/>
      <c r="R115" s="60"/>
      <c r="S115" s="60"/>
    </row>
    <row r="116" spans="1:19" x14ac:dyDescent="0.35">
      <c r="A116" s="60"/>
      <c r="B116" s="60"/>
      <c r="C116" s="60"/>
      <c r="D116" s="60"/>
      <c r="E116" s="81">
        <f t="shared" si="0"/>
        <v>2046</v>
      </c>
      <c r="F116" s="81">
        <f t="shared" si="1"/>
        <v>18900</v>
      </c>
      <c r="G116" s="81">
        <f t="shared" si="2"/>
        <v>51200</v>
      </c>
      <c r="H116" s="81">
        <f t="shared" si="3"/>
        <v>907600</v>
      </c>
      <c r="I116" s="81">
        <v>84</v>
      </c>
      <c r="J116" s="60"/>
      <c r="K116" s="60"/>
      <c r="L116" s="60"/>
      <c r="M116" s="60"/>
      <c r="N116" s="60"/>
      <c r="O116" s="60"/>
      <c r="P116" s="60"/>
      <c r="Q116" s="60"/>
      <c r="R116" s="60"/>
      <c r="S116" s="60"/>
    </row>
    <row r="117" spans="1:19" x14ac:dyDescent="0.35">
      <c r="E117" s="81">
        <f t="shared" si="0"/>
        <v>2047</v>
      </c>
      <c r="F117" s="81">
        <f t="shared" si="1"/>
        <v>18900</v>
      </c>
      <c r="G117" s="81">
        <f t="shared" si="2"/>
        <v>51200</v>
      </c>
      <c r="H117" s="81">
        <f t="shared" si="3"/>
        <v>907600</v>
      </c>
      <c r="I117" s="81">
        <v>85</v>
      </c>
    </row>
    <row r="118" spans="1:19" x14ac:dyDescent="0.35">
      <c r="E118" s="81">
        <f t="shared" si="0"/>
        <v>2048</v>
      </c>
      <c r="F118" s="81">
        <f t="shared" si="1"/>
        <v>18900</v>
      </c>
      <c r="G118" s="81">
        <f t="shared" si="2"/>
        <v>51200</v>
      </c>
      <c r="H118" s="81">
        <f t="shared" si="3"/>
        <v>907600</v>
      </c>
      <c r="I118" s="81">
        <v>86</v>
      </c>
    </row>
    <row r="119" spans="1:19" x14ac:dyDescent="0.35">
      <c r="E119" s="81">
        <f t="shared" si="0"/>
        <v>2049</v>
      </c>
      <c r="F119" s="81">
        <f t="shared" si="1"/>
        <v>18900</v>
      </c>
      <c r="G119" s="81">
        <f t="shared" si="2"/>
        <v>51200</v>
      </c>
      <c r="H119" s="81">
        <f t="shared" si="3"/>
        <v>907600</v>
      </c>
      <c r="I119" s="81">
        <v>87</v>
      </c>
    </row>
    <row r="120" spans="1:19" x14ac:dyDescent="0.35">
      <c r="E120" s="81">
        <f t="shared" si="0"/>
        <v>2050</v>
      </c>
      <c r="F120" s="81">
        <f t="shared" si="1"/>
        <v>18900</v>
      </c>
      <c r="G120" s="81">
        <f t="shared" si="2"/>
        <v>51200</v>
      </c>
      <c r="H120" s="81">
        <f t="shared" si="3"/>
        <v>907600</v>
      </c>
      <c r="I120" s="81">
        <v>88</v>
      </c>
    </row>
    <row r="121" spans="1:19" x14ac:dyDescent="0.35">
      <c r="E121" s="60"/>
    </row>
    <row r="122" spans="1:19" x14ac:dyDescent="0.35">
      <c r="E122" s="60"/>
    </row>
    <row r="123" spans="1:19" x14ac:dyDescent="0.35">
      <c r="E123" s="60"/>
    </row>
    <row r="124" spans="1:19" x14ac:dyDescent="0.35">
      <c r="E124" s="60"/>
    </row>
    <row r="125" spans="1:19" x14ac:dyDescent="0.35">
      <c r="E125" s="60"/>
    </row>
    <row r="126" spans="1:19" x14ac:dyDescent="0.35">
      <c r="E126" s="60"/>
    </row>
    <row r="127" spans="1:19" x14ac:dyDescent="0.35">
      <c r="E127" s="60"/>
    </row>
    <row r="128" spans="1:19" x14ac:dyDescent="0.35">
      <c r="E128" s="60"/>
    </row>
    <row r="129" spans="5:5" x14ac:dyDescent="0.35">
      <c r="E129" s="60"/>
    </row>
    <row r="130" spans="5:5" x14ac:dyDescent="0.35">
      <c r="E130" s="60"/>
    </row>
    <row r="131" spans="5:5" x14ac:dyDescent="0.35">
      <c r="E131" s="60"/>
    </row>
    <row r="132" spans="5:5" x14ac:dyDescent="0.35">
      <c r="E132" s="60"/>
    </row>
    <row r="133" spans="5:5" x14ac:dyDescent="0.35">
      <c r="E133" s="60"/>
    </row>
    <row r="134" spans="5:5" x14ac:dyDescent="0.35">
      <c r="E134" s="60"/>
    </row>
    <row r="135" spans="5:5" x14ac:dyDescent="0.35">
      <c r="E135" s="60"/>
    </row>
    <row r="136" spans="5:5" x14ac:dyDescent="0.35">
      <c r="E136" s="60"/>
    </row>
    <row r="137" spans="5:5" x14ac:dyDescent="0.35">
      <c r="E137" s="60"/>
    </row>
    <row r="138" spans="5:5" x14ac:dyDescent="0.35">
      <c r="E138" s="60"/>
    </row>
    <row r="139" spans="5:5" x14ac:dyDescent="0.35">
      <c r="E139" s="60"/>
    </row>
    <row r="140" spans="5:5" x14ac:dyDescent="0.35">
      <c r="E140" s="60"/>
    </row>
    <row r="141" spans="5:5" x14ac:dyDescent="0.35">
      <c r="E141" s="60"/>
    </row>
    <row r="142" spans="5:5" x14ac:dyDescent="0.35">
      <c r="E142" s="60"/>
    </row>
    <row r="143" spans="5:5" x14ac:dyDescent="0.35">
      <c r="E143" s="60"/>
    </row>
    <row r="144" spans="5:5" x14ac:dyDescent="0.35">
      <c r="E144" s="60"/>
    </row>
    <row r="145" spans="5:5" x14ac:dyDescent="0.35">
      <c r="E145" s="60"/>
    </row>
    <row r="146" spans="5:5" x14ac:dyDescent="0.35">
      <c r="E146" s="60"/>
    </row>
    <row r="147" spans="5:5" x14ac:dyDescent="0.35">
      <c r="E147" s="60"/>
    </row>
    <row r="148" spans="5:5" x14ac:dyDescent="0.35">
      <c r="E148" s="60"/>
    </row>
    <row r="149" spans="5:5" x14ac:dyDescent="0.35">
      <c r="E149" s="60"/>
    </row>
    <row r="150" spans="5:5" x14ac:dyDescent="0.35">
      <c r="E150" s="60"/>
    </row>
    <row r="151" spans="5:5" x14ac:dyDescent="0.35">
      <c r="E151" s="60"/>
    </row>
    <row r="152" spans="5:5" x14ac:dyDescent="0.35">
      <c r="E152" s="60"/>
    </row>
    <row r="153" spans="5:5" x14ac:dyDescent="0.35">
      <c r="E153" s="60"/>
    </row>
    <row r="154" spans="5:5" x14ac:dyDescent="0.35">
      <c r="E154" s="60"/>
    </row>
    <row r="155" spans="5:5" x14ac:dyDescent="0.35">
      <c r="E155" s="60"/>
    </row>
    <row r="156" spans="5:5" x14ac:dyDescent="0.35">
      <c r="E156" s="60"/>
    </row>
    <row r="157" spans="5:5" x14ac:dyDescent="0.35">
      <c r="E157" s="60"/>
    </row>
    <row r="158" spans="5:5" x14ac:dyDescent="0.35">
      <c r="E158" s="60"/>
    </row>
    <row r="159" spans="5:5" x14ac:dyDescent="0.35">
      <c r="E159" s="60"/>
    </row>
    <row r="160" spans="5:5" x14ac:dyDescent="0.35">
      <c r="E160" s="60"/>
    </row>
    <row r="161" spans="5:5" x14ac:dyDescent="0.35">
      <c r="E161" s="60"/>
    </row>
    <row r="162" spans="5:5" x14ac:dyDescent="0.35">
      <c r="E162" s="60"/>
    </row>
    <row r="163" spans="5:5" x14ac:dyDescent="0.35">
      <c r="E163" s="60"/>
    </row>
    <row r="164" spans="5:5" x14ac:dyDescent="0.35">
      <c r="E164" s="60"/>
    </row>
    <row r="165" spans="5:5" x14ac:dyDescent="0.35">
      <c r="E165" s="60"/>
    </row>
    <row r="166" spans="5:5" x14ac:dyDescent="0.35">
      <c r="E166" s="60"/>
    </row>
    <row r="167" spans="5:5" x14ac:dyDescent="0.35">
      <c r="E167" s="60"/>
    </row>
    <row r="168" spans="5:5" x14ac:dyDescent="0.35">
      <c r="E168" s="60"/>
    </row>
    <row r="169" spans="5:5" x14ac:dyDescent="0.35">
      <c r="E169" s="60"/>
    </row>
    <row r="170" spans="5:5" x14ac:dyDescent="0.35">
      <c r="E170" s="60"/>
    </row>
    <row r="171" spans="5:5" x14ac:dyDescent="0.35">
      <c r="E171" s="60"/>
    </row>
    <row r="172" spans="5:5" x14ac:dyDescent="0.35">
      <c r="E172" s="60"/>
    </row>
    <row r="173" spans="5:5" x14ac:dyDescent="0.35">
      <c r="E173" s="60"/>
    </row>
    <row r="174" spans="5:5" x14ac:dyDescent="0.35">
      <c r="E174" s="60"/>
    </row>
    <row r="175" spans="5:5" x14ac:dyDescent="0.35">
      <c r="E175" s="60"/>
    </row>
    <row r="176" spans="5:5" x14ac:dyDescent="0.35">
      <c r="E176" s="60"/>
    </row>
    <row r="177" spans="5:5" x14ac:dyDescent="0.35">
      <c r="E177" s="60"/>
    </row>
    <row r="178" spans="5:5" x14ac:dyDescent="0.35">
      <c r="E178" s="60"/>
    </row>
    <row r="179" spans="5:5" x14ac:dyDescent="0.35">
      <c r="E179" s="60"/>
    </row>
    <row r="180" spans="5:5" x14ac:dyDescent="0.35">
      <c r="E180" s="60"/>
    </row>
    <row r="181" spans="5:5" x14ac:dyDescent="0.35">
      <c r="E181" s="60"/>
    </row>
    <row r="182" spans="5:5" x14ac:dyDescent="0.35">
      <c r="E182" s="60"/>
    </row>
    <row r="183" spans="5:5" x14ac:dyDescent="0.35">
      <c r="E183" s="60"/>
    </row>
    <row r="184" spans="5:5" x14ac:dyDescent="0.35">
      <c r="E184" s="60"/>
    </row>
    <row r="185" spans="5:5" x14ac:dyDescent="0.35">
      <c r="E185" s="60"/>
    </row>
    <row r="186" spans="5:5" x14ac:dyDescent="0.35">
      <c r="E186" s="60"/>
    </row>
    <row r="187" spans="5:5" x14ac:dyDescent="0.35">
      <c r="E187" s="60"/>
    </row>
    <row r="188" spans="5:5" x14ac:dyDescent="0.35">
      <c r="E188" s="60"/>
    </row>
    <row r="189" spans="5:5" x14ac:dyDescent="0.35">
      <c r="E189" s="60"/>
    </row>
    <row r="190" spans="5:5" x14ac:dyDescent="0.35">
      <c r="E190" s="60"/>
    </row>
    <row r="191" spans="5:5" x14ac:dyDescent="0.35">
      <c r="E191" s="60"/>
    </row>
    <row r="192" spans="5:5" x14ac:dyDescent="0.35">
      <c r="E192" s="60"/>
    </row>
    <row r="193" spans="5:5" x14ac:dyDescent="0.35">
      <c r="E193" s="60"/>
    </row>
    <row r="194" spans="5:5" x14ac:dyDescent="0.35">
      <c r="E194" s="60"/>
    </row>
    <row r="195" spans="5:5" x14ac:dyDescent="0.35">
      <c r="E195" s="60"/>
    </row>
    <row r="196" spans="5:5" x14ac:dyDescent="0.35">
      <c r="E196" s="60"/>
    </row>
    <row r="197" spans="5:5" x14ac:dyDescent="0.35">
      <c r="E197" s="60"/>
    </row>
    <row r="198" spans="5:5" x14ac:dyDescent="0.35">
      <c r="E198" s="60"/>
    </row>
    <row r="199" spans="5:5" x14ac:dyDescent="0.35">
      <c r="E199" s="60"/>
    </row>
    <row r="200" spans="5:5" x14ac:dyDescent="0.35">
      <c r="E200" s="60"/>
    </row>
  </sheetData>
  <sheetProtection algorithmName="SHA-512" hashValue="zKwqJQoVRlbLlhMhsWwOAjxWnW+Ude0TJJVNYKSB8ApYhUpqpw5jYkuft/DTDRWfSYMjKZaczLO6jQyR3AvKyQ==" saltValue="/wff1LgpmvVWPmIkXnzM0A==" spinCount="100000" sheet="1" objects="1" scenarios="1"/>
  <mergeCells count="18">
    <mergeCell ref="E51:E59"/>
    <mergeCell ref="E60:E87"/>
    <mergeCell ref="G6:J6"/>
    <mergeCell ref="B4:D4"/>
    <mergeCell ref="E8:E16"/>
    <mergeCell ref="E17:E44"/>
    <mergeCell ref="G49:J49"/>
    <mergeCell ref="I2:I3"/>
    <mergeCell ref="J2:J3"/>
    <mergeCell ref="K2:K3"/>
    <mergeCell ref="L2:Q2"/>
    <mergeCell ref="L3:Q3"/>
    <mergeCell ref="H2:H3"/>
    <mergeCell ref="A2:A3"/>
    <mergeCell ref="B2:D3"/>
    <mergeCell ref="E2:E3"/>
    <mergeCell ref="F2:F3"/>
    <mergeCell ref="G2:G3"/>
  </mergeCells>
  <hyperlinks>
    <hyperlink ref="R2" r:id="rId1" xr:uid="{7F944CAF-7A49-4F51-92BE-674BA1231CE3}"/>
  </hyperlinks>
  <pageMargins left="0.7" right="0.7" top="0.75" bottom="0.75" header="0.3" footer="0.3"/>
  <pageSetup orientation="portrait" horizontalDpi="300" verticalDpi="300"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10C9C-18A9-4281-B5B2-A912AF18A35D}">
  <sheetPr>
    <tabColor rgb="FFCDE0FF"/>
  </sheetPr>
  <dimension ref="A1:G22"/>
  <sheetViews>
    <sheetView zoomScale="80" zoomScaleNormal="80" workbookViewId="0">
      <selection activeCell="E12" sqref="E12"/>
    </sheetView>
  </sheetViews>
  <sheetFormatPr defaultRowHeight="14.5" x14ac:dyDescent="0.35"/>
  <cols>
    <col min="1" max="1" width="14.54296875" customWidth="1"/>
    <col min="2" max="3" width="7" bestFit="1" customWidth="1"/>
    <col min="4" max="4" width="25" style="35" customWidth="1"/>
    <col min="5" max="5" width="15" bestFit="1" customWidth="1"/>
    <col min="6" max="6" width="52.26953125" style="35" customWidth="1"/>
    <col min="7" max="7" width="91.7265625" customWidth="1"/>
  </cols>
  <sheetData>
    <row r="1" spans="1:7" x14ac:dyDescent="0.35">
      <c r="A1" s="239" t="s">
        <v>788</v>
      </c>
      <c r="B1" s="239" t="s">
        <v>789</v>
      </c>
      <c r="C1" s="239" t="s">
        <v>790</v>
      </c>
      <c r="D1" s="240" t="s">
        <v>791</v>
      </c>
      <c r="E1" s="239" t="s">
        <v>792</v>
      </c>
      <c r="F1" s="240" t="s">
        <v>793</v>
      </c>
      <c r="G1" s="239" t="s">
        <v>794</v>
      </c>
    </row>
    <row r="2" spans="1:7" ht="43.5" x14ac:dyDescent="0.35">
      <c r="A2" s="34">
        <v>20000129038</v>
      </c>
      <c r="B2" s="34">
        <v>11.117000000000001</v>
      </c>
      <c r="C2" s="34">
        <v>11.468</v>
      </c>
      <c r="D2" s="181" t="s">
        <v>795</v>
      </c>
      <c r="E2" s="34" t="s">
        <v>796</v>
      </c>
      <c r="F2" s="181" t="s">
        <v>797</v>
      </c>
      <c r="G2" s="181" t="s">
        <v>798</v>
      </c>
    </row>
    <row r="3" spans="1:7" ht="72.5" x14ac:dyDescent="0.35">
      <c r="A3" s="34">
        <v>30000143038</v>
      </c>
      <c r="B3" s="34">
        <v>29.643999999999998</v>
      </c>
      <c r="C3" s="34">
        <v>33.314</v>
      </c>
      <c r="D3" s="181" t="s">
        <v>799</v>
      </c>
      <c r="E3" s="34" t="s">
        <v>800</v>
      </c>
      <c r="F3" s="181" t="s">
        <v>801</v>
      </c>
      <c r="G3" s="181" t="s">
        <v>802</v>
      </c>
    </row>
    <row r="4" spans="1:7" ht="101.5" x14ac:dyDescent="0.35">
      <c r="A4" s="34">
        <v>30000143038</v>
      </c>
      <c r="B4" s="34">
        <v>33.314</v>
      </c>
      <c r="C4" s="34">
        <v>36.85</v>
      </c>
      <c r="D4" s="181" t="s">
        <v>803</v>
      </c>
      <c r="E4" s="34" t="s">
        <v>804</v>
      </c>
      <c r="F4" s="181" t="s">
        <v>805</v>
      </c>
      <c r="G4" s="181" t="s">
        <v>806</v>
      </c>
    </row>
    <row r="5" spans="1:7" ht="72.5" x14ac:dyDescent="0.35">
      <c r="A5" s="34">
        <v>30000143038</v>
      </c>
      <c r="B5" s="34">
        <v>36.85</v>
      </c>
      <c r="C5" s="34">
        <v>38.479999999999997</v>
      </c>
      <c r="D5" s="181" t="s">
        <v>807</v>
      </c>
      <c r="E5" s="34" t="s">
        <v>808</v>
      </c>
      <c r="F5" s="181" t="s">
        <v>809</v>
      </c>
      <c r="G5" s="181" t="s">
        <v>802</v>
      </c>
    </row>
    <row r="6" spans="1:7" ht="72.5" x14ac:dyDescent="0.35">
      <c r="A6" s="34">
        <v>30000028038</v>
      </c>
      <c r="B6" s="34">
        <v>6.75</v>
      </c>
      <c r="C6" s="34">
        <v>8.0169999999999995</v>
      </c>
      <c r="D6" s="181" t="s">
        <v>810</v>
      </c>
      <c r="E6" s="34" t="s">
        <v>811</v>
      </c>
      <c r="F6" s="181" t="s">
        <v>809</v>
      </c>
      <c r="G6" s="181" t="s">
        <v>812</v>
      </c>
    </row>
    <row r="7" spans="1:7" ht="101.5" x14ac:dyDescent="0.35">
      <c r="A7" s="34">
        <v>30000028038</v>
      </c>
      <c r="B7" s="34">
        <v>5.33</v>
      </c>
      <c r="C7" s="34">
        <v>6.75</v>
      </c>
      <c r="D7" s="181" t="s">
        <v>813</v>
      </c>
      <c r="E7" s="34" t="s">
        <v>814</v>
      </c>
      <c r="F7" s="181" t="s">
        <v>815</v>
      </c>
      <c r="G7" s="181" t="s">
        <v>816</v>
      </c>
    </row>
    <row r="8" spans="1:7" x14ac:dyDescent="0.35">
      <c r="G8" s="35"/>
    </row>
    <row r="9" spans="1:7" x14ac:dyDescent="0.35">
      <c r="G9" s="35"/>
    </row>
    <row r="10" spans="1:7" ht="15" thickBot="1" x14ac:dyDescent="0.4">
      <c r="A10" s="5" t="s">
        <v>817</v>
      </c>
      <c r="G10" s="35"/>
    </row>
    <row r="11" spans="1:7" x14ac:dyDescent="0.35">
      <c r="A11" s="241" t="s">
        <v>818</v>
      </c>
      <c r="B11" s="242"/>
      <c r="C11" s="242"/>
      <c r="D11" s="243"/>
      <c r="E11" s="244"/>
    </row>
    <row r="12" spans="1:7" x14ac:dyDescent="0.35">
      <c r="A12" s="245" t="s">
        <v>819</v>
      </c>
      <c r="E12" s="44"/>
    </row>
    <row r="13" spans="1:7" x14ac:dyDescent="0.35">
      <c r="A13" s="43"/>
      <c r="E13" s="44"/>
    </row>
    <row r="14" spans="1:7" x14ac:dyDescent="0.35">
      <c r="A14" s="43" t="s">
        <v>820</v>
      </c>
      <c r="E14" s="44"/>
    </row>
    <row r="15" spans="1:7" x14ac:dyDescent="0.35">
      <c r="A15" s="43" t="s">
        <v>618</v>
      </c>
      <c r="E15" s="44"/>
    </row>
    <row r="16" spans="1:7" x14ac:dyDescent="0.35">
      <c r="A16" s="43"/>
      <c r="E16" s="44"/>
    </row>
    <row r="17" spans="1:5" x14ac:dyDescent="0.35">
      <c r="A17" s="43" t="s">
        <v>821</v>
      </c>
      <c r="E17" s="44"/>
    </row>
    <row r="18" spans="1:5" x14ac:dyDescent="0.35">
      <c r="A18" s="43" t="s">
        <v>412</v>
      </c>
      <c r="B18" t="s">
        <v>822</v>
      </c>
      <c r="E18" s="44"/>
    </row>
    <row r="19" spans="1:5" x14ac:dyDescent="0.35">
      <c r="A19" s="43" t="s">
        <v>414</v>
      </c>
      <c r="B19" t="s">
        <v>823</v>
      </c>
      <c r="E19" s="44"/>
    </row>
    <row r="20" spans="1:5" ht="15" thickBot="1" x14ac:dyDescent="0.4">
      <c r="A20" s="215" t="s">
        <v>416</v>
      </c>
      <c r="B20" s="246" t="s">
        <v>824</v>
      </c>
      <c r="C20" s="246"/>
      <c r="D20" s="247"/>
      <c r="E20" s="248"/>
    </row>
    <row r="22" spans="1:5" x14ac:dyDescent="0.35">
      <c r="A22" t="s">
        <v>825</v>
      </c>
    </row>
  </sheetData>
  <sheetProtection algorithmName="SHA-512" hashValue="OsCtcW1UYhU/utoTimna5bF09QYUR1v/i6GIC56HkqdUdQ71vRMO9ag8ZOVX7uCwvpf5+iIFX9zXmsistHovSw==" saltValue="eLZnIZXdQgO1dn++LPvdEA==" spinCount="100000" sheet="1" objects="1" scenarios="1"/>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A8EC2-EEAF-4D3D-A26C-579F5728AF47}">
  <sheetPr>
    <tabColor rgb="FFCDE0FF"/>
  </sheetPr>
  <dimension ref="A1:N34"/>
  <sheetViews>
    <sheetView topLeftCell="A4" workbookViewId="0">
      <selection activeCell="E12" sqref="E12"/>
    </sheetView>
  </sheetViews>
  <sheetFormatPr defaultColWidth="12.26953125" defaultRowHeight="14.5" x14ac:dyDescent="0.35"/>
  <cols>
    <col min="1" max="1" width="18.26953125" bestFit="1" customWidth="1"/>
    <col min="2" max="2" width="17.26953125" customWidth="1"/>
    <col min="3" max="3" width="19.26953125" customWidth="1"/>
    <col min="4" max="4" width="11.7265625" bestFit="1" customWidth="1"/>
    <col min="5" max="5" width="12.7265625" bestFit="1" customWidth="1"/>
    <col min="6" max="6" width="18.26953125" customWidth="1"/>
    <col min="7" max="7" width="15.7265625" customWidth="1"/>
    <col min="8" max="8" width="17.26953125" customWidth="1"/>
    <col min="9" max="9" width="20.26953125" bestFit="1" customWidth="1"/>
    <col min="10" max="10" width="23.26953125" bestFit="1" customWidth="1"/>
  </cols>
  <sheetData>
    <row r="1" spans="1:14" x14ac:dyDescent="0.35">
      <c r="A1" t="s">
        <v>485</v>
      </c>
      <c r="F1" t="s">
        <v>486</v>
      </c>
    </row>
    <row r="2" spans="1:14" s="35" customFormat="1" ht="29" x14ac:dyDescent="0.35">
      <c r="A2" s="135" t="s">
        <v>487</v>
      </c>
      <c r="B2" s="135" t="s">
        <v>488</v>
      </c>
      <c r="C2" s="135" t="s">
        <v>489</v>
      </c>
      <c r="D2" s="135" t="s">
        <v>490</v>
      </c>
      <c r="E2" s="135" t="s">
        <v>491</v>
      </c>
      <c r="F2" s="135" t="s">
        <v>492</v>
      </c>
      <c r="G2" s="135" t="s">
        <v>493</v>
      </c>
      <c r="H2" s="135" t="s">
        <v>494</v>
      </c>
      <c r="I2" s="135" t="s">
        <v>495</v>
      </c>
      <c r="J2" s="135" t="s">
        <v>496</v>
      </c>
      <c r="L2" s="35" t="s">
        <v>497</v>
      </c>
      <c r="M2" s="35" t="s">
        <v>498</v>
      </c>
      <c r="N2" s="35" t="s">
        <v>499</v>
      </c>
    </row>
    <row r="3" spans="1:14" ht="29" x14ac:dyDescent="0.35">
      <c r="A3" s="122" t="s">
        <v>500</v>
      </c>
      <c r="B3" s="179"/>
      <c r="C3" s="34"/>
      <c r="D3" s="34"/>
      <c r="E3" s="34"/>
      <c r="F3" s="180">
        <v>57000000</v>
      </c>
      <c r="G3" s="180">
        <v>57000000</v>
      </c>
      <c r="H3" s="180">
        <v>0</v>
      </c>
      <c r="I3" s="34" t="s">
        <v>501</v>
      </c>
      <c r="J3" s="181" t="s">
        <v>502</v>
      </c>
      <c r="L3" s="155">
        <v>44835</v>
      </c>
      <c r="M3" s="155">
        <v>46722</v>
      </c>
      <c r="N3" s="116">
        <f>(5*12+2)/12</f>
        <v>5.166666666666667</v>
      </c>
    </row>
    <row r="4" spans="1:14" ht="29" x14ac:dyDescent="0.35">
      <c r="A4" s="122" t="s">
        <v>503</v>
      </c>
      <c r="B4" s="179"/>
      <c r="C4" s="34"/>
      <c r="D4" s="34"/>
      <c r="E4" s="34"/>
      <c r="F4" s="180">
        <v>139690000</v>
      </c>
      <c r="G4" s="180">
        <v>139690000</v>
      </c>
      <c r="H4" s="180">
        <v>0</v>
      </c>
      <c r="I4" s="34" t="s">
        <v>501</v>
      </c>
      <c r="J4" s="181" t="s">
        <v>502</v>
      </c>
      <c r="L4" s="155">
        <v>44835</v>
      </c>
      <c r="M4" s="155">
        <v>46722</v>
      </c>
      <c r="N4" s="116">
        <f>(5*12+2)/12</f>
        <v>5.166666666666667</v>
      </c>
    </row>
    <row r="5" spans="1:14" ht="29" x14ac:dyDescent="0.35">
      <c r="A5" s="122" t="s">
        <v>504</v>
      </c>
      <c r="B5" s="179"/>
      <c r="C5" s="34"/>
      <c r="D5" s="34"/>
      <c r="E5" s="34"/>
      <c r="F5" s="180">
        <v>80865000</v>
      </c>
      <c r="G5" s="180">
        <v>80865000</v>
      </c>
      <c r="H5" s="180">
        <v>0</v>
      </c>
      <c r="I5" s="34" t="s">
        <v>501</v>
      </c>
      <c r="J5" s="181" t="s">
        <v>502</v>
      </c>
      <c r="L5" s="155">
        <v>44927</v>
      </c>
      <c r="M5" s="155">
        <v>46388</v>
      </c>
      <c r="N5">
        <f>4</f>
        <v>4</v>
      </c>
    </row>
    <row r="6" spans="1:14" ht="29" x14ac:dyDescent="0.35">
      <c r="A6" s="122" t="s">
        <v>505</v>
      </c>
      <c r="B6" s="179"/>
      <c r="C6" s="34"/>
      <c r="D6" s="34"/>
      <c r="E6" s="34"/>
      <c r="F6" s="180">
        <v>46500000</v>
      </c>
      <c r="G6" s="180">
        <v>1034276</v>
      </c>
      <c r="H6" s="180">
        <v>44433000</v>
      </c>
      <c r="I6" s="34" t="s">
        <v>506</v>
      </c>
      <c r="J6" s="181" t="s">
        <v>502</v>
      </c>
      <c r="L6" s="155">
        <v>45261</v>
      </c>
      <c r="M6" s="155">
        <v>46722</v>
      </c>
      <c r="N6">
        <f>4</f>
        <v>4</v>
      </c>
    </row>
    <row r="7" spans="1:14" x14ac:dyDescent="0.35">
      <c r="A7" s="122" t="s">
        <v>507</v>
      </c>
      <c r="B7" s="179"/>
      <c r="C7" s="34"/>
      <c r="D7" s="34"/>
      <c r="E7" s="34"/>
      <c r="F7" s="180">
        <v>567000</v>
      </c>
      <c r="G7" s="180">
        <v>0</v>
      </c>
      <c r="H7" s="180">
        <v>567000</v>
      </c>
      <c r="I7" s="34"/>
      <c r="J7" s="181"/>
      <c r="L7" s="155"/>
      <c r="M7" s="155"/>
    </row>
    <row r="8" spans="1:14" x14ac:dyDescent="0.35">
      <c r="A8" s="74" t="s">
        <v>176</v>
      </c>
      <c r="B8" s="48">
        <f>B16</f>
        <v>24423720</v>
      </c>
      <c r="C8" s="48">
        <f>SUM(C3:C6)</f>
        <v>0</v>
      </c>
      <c r="D8" s="48">
        <f>SUM(D3:D6)</f>
        <v>0</v>
      </c>
      <c r="E8" s="48">
        <f>SUM(E3:E6)</f>
        <v>0</v>
      </c>
      <c r="F8" s="136">
        <f>SUM(F3:F7)</f>
        <v>324622000</v>
      </c>
      <c r="G8" s="136">
        <f>SUM(G3:G7)</f>
        <v>278589276</v>
      </c>
      <c r="H8" s="136">
        <f>SUM(H3:H7)</f>
        <v>45000000</v>
      </c>
      <c r="I8" s="5"/>
    </row>
    <row r="9" spans="1:14" x14ac:dyDescent="0.35">
      <c r="B9" s="132">
        <f>B17</f>
        <v>0</v>
      </c>
      <c r="C9" s="132"/>
      <c r="D9" s="132"/>
      <c r="E9" s="132"/>
      <c r="F9" s="132"/>
    </row>
    <row r="10" spans="1:14" x14ac:dyDescent="0.35">
      <c r="B10" s="32"/>
    </row>
    <row r="11" spans="1:14" x14ac:dyDescent="0.35">
      <c r="A11" s="137" t="s">
        <v>488</v>
      </c>
      <c r="B11" s="137"/>
      <c r="C11" t="s">
        <v>378</v>
      </c>
    </row>
    <row r="12" spans="1:14" ht="15.5" x14ac:dyDescent="0.35">
      <c r="A12" s="138" t="s">
        <v>508</v>
      </c>
      <c r="B12" s="331">
        <v>15329976</v>
      </c>
      <c r="C12" s="156">
        <f>B12*(Deflator!$E$90/Deflator!$E$91)</f>
        <v>14743250.828658333</v>
      </c>
    </row>
    <row r="13" spans="1:14" ht="15.5" x14ac:dyDescent="0.35">
      <c r="A13" s="138" t="s">
        <v>490</v>
      </c>
      <c r="B13" s="331">
        <v>3326176</v>
      </c>
      <c r="C13" s="156">
        <f>B13*(Deflator!$E$90/Deflator!$E$91)</f>
        <v>3198873.0490030418</v>
      </c>
    </row>
    <row r="14" spans="1:14" ht="15.5" x14ac:dyDescent="0.35">
      <c r="A14" s="138" t="s">
        <v>509</v>
      </c>
      <c r="B14" s="331">
        <v>181453</v>
      </c>
      <c r="C14" s="156">
        <f>B14*(Deflator!$E$90/Deflator!$E$91)</f>
        <v>174508.23749577563</v>
      </c>
    </row>
    <row r="15" spans="1:14" ht="15.5" x14ac:dyDescent="0.35">
      <c r="A15" s="138" t="s">
        <v>510</v>
      </c>
      <c r="B15" s="331">
        <v>5586115</v>
      </c>
      <c r="C15" s="156">
        <f>B15*(Deflator!$E$90/Deflator!$E$91)</f>
        <v>5372317.2562521128</v>
      </c>
    </row>
    <row r="16" spans="1:14" ht="15.5" x14ac:dyDescent="0.35">
      <c r="A16" s="327" t="s">
        <v>349</v>
      </c>
      <c r="B16" s="326">
        <f>SUM(B12:B15)</f>
        <v>24423720</v>
      </c>
      <c r="C16" s="326">
        <f>SUM(C12:C15)</f>
        <v>23488949.371409263</v>
      </c>
    </row>
    <row r="18" spans="1:11" ht="15.5" x14ac:dyDescent="0.35">
      <c r="A18" s="138" t="s">
        <v>511</v>
      </c>
    </row>
    <row r="19" spans="1:11" x14ac:dyDescent="0.35">
      <c r="A19" t="s">
        <v>512</v>
      </c>
    </row>
    <row r="20" spans="1:11" x14ac:dyDescent="0.35">
      <c r="A20" s="141" t="s">
        <v>471</v>
      </c>
      <c r="B20" s="9" t="s">
        <v>513</v>
      </c>
      <c r="C20" s="9" t="s">
        <v>514</v>
      </c>
      <c r="D20" s="9" t="s">
        <v>515</v>
      </c>
      <c r="E20" s="9" t="s">
        <v>516</v>
      </c>
      <c r="F20" s="9" t="s">
        <v>507</v>
      </c>
      <c r="G20" s="9" t="s">
        <v>176</v>
      </c>
      <c r="H20" s="9" t="s">
        <v>378</v>
      </c>
      <c r="K20" s="9"/>
    </row>
    <row r="21" spans="1:11" x14ac:dyDescent="0.35">
      <c r="A21">
        <v>2022</v>
      </c>
      <c r="B21" s="132">
        <f>$F$3/$N$3*2/12</f>
        <v>1838709.6774193549</v>
      </c>
      <c r="C21" s="132">
        <f>$F$4/$N$4*2/12</f>
        <v>4506129.0322580645</v>
      </c>
      <c r="D21" s="32"/>
      <c r="E21" s="32"/>
      <c r="F21" s="32"/>
      <c r="G21" s="323">
        <f t="shared" ref="G21:G26" si="0">SUM(B21:F21)</f>
        <v>6344838.7096774196</v>
      </c>
      <c r="H21" s="323">
        <f>G21*Deflator!$P$90/Deflator!$P$91</f>
        <v>6106066.1273768665</v>
      </c>
      <c r="K21" s="132"/>
    </row>
    <row r="22" spans="1:11" x14ac:dyDescent="0.35">
      <c r="A22">
        <f t="shared" ref="A22:A26" si="1">A21+1</f>
        <v>2023</v>
      </c>
      <c r="B22" s="132">
        <f>$F$3/$N$3</f>
        <v>11032258.064516129</v>
      </c>
      <c r="C22" s="132">
        <f>$F$4/$N$4</f>
        <v>27036774.193548385</v>
      </c>
      <c r="D22" s="132">
        <f>$F$5/$N$5</f>
        <v>20216250</v>
      </c>
      <c r="G22" s="323">
        <f t="shared" si="0"/>
        <v>58285282.258064516</v>
      </c>
      <c r="H22" s="132">
        <f>G22*Deflator!$C$90/Deflator!$C$91</f>
        <v>56092417.950158641</v>
      </c>
      <c r="K22" s="132"/>
    </row>
    <row r="23" spans="1:11" x14ac:dyDescent="0.35">
      <c r="A23">
        <f t="shared" si="1"/>
        <v>2024</v>
      </c>
      <c r="B23" s="132">
        <f>$F$3/$N$3</f>
        <v>11032258.064516129</v>
      </c>
      <c r="C23" s="132">
        <f>$F$4/$N$4</f>
        <v>27036774.193548385</v>
      </c>
      <c r="D23" s="132">
        <f>$F$5/$N$5</f>
        <v>20216250</v>
      </c>
      <c r="E23" s="132">
        <f>$F$6/$N$6</f>
        <v>11625000</v>
      </c>
      <c r="F23" s="132">
        <f>SUM($F$7/4)</f>
        <v>141750</v>
      </c>
      <c r="G23" s="323">
        <f t="shared" si="0"/>
        <v>70052032.258064508</v>
      </c>
      <c r="H23" s="132">
        <f>G23*Deflator!$C$90/Deflator!$C$91</f>
        <v>67416468.093601257</v>
      </c>
      <c r="K23" s="132"/>
    </row>
    <row r="24" spans="1:11" x14ac:dyDescent="0.35">
      <c r="A24">
        <f t="shared" si="1"/>
        <v>2025</v>
      </c>
      <c r="B24" s="132">
        <f>$F$3/$N$3</f>
        <v>11032258.064516129</v>
      </c>
      <c r="C24" s="132">
        <f>$F$4/$N$4</f>
        <v>27036774.193548385</v>
      </c>
      <c r="D24" s="132">
        <f>$F$5/$N$5</f>
        <v>20216250</v>
      </c>
      <c r="E24" s="132">
        <f>$F$6/$N$6</f>
        <v>11625000</v>
      </c>
      <c r="F24" s="132">
        <f t="shared" ref="F24:F26" si="2">SUM($F$7/4)</f>
        <v>141750</v>
      </c>
      <c r="G24" s="323">
        <f t="shared" si="0"/>
        <v>70052032.258064508</v>
      </c>
      <c r="H24" s="132">
        <f>G24*Deflator!$C$90/Deflator!$C$91</f>
        <v>67416468.093601257</v>
      </c>
      <c r="K24" s="132"/>
    </row>
    <row r="25" spans="1:11" x14ac:dyDescent="0.35">
      <c r="A25">
        <f t="shared" si="1"/>
        <v>2026</v>
      </c>
      <c r="B25" s="132">
        <f>$F$3/$N$3</f>
        <v>11032258.064516129</v>
      </c>
      <c r="C25" s="132">
        <f>$F$4/$N$4</f>
        <v>27036774.193548385</v>
      </c>
      <c r="D25" s="132">
        <f>$F$5/$N$5</f>
        <v>20216250</v>
      </c>
      <c r="E25" s="132">
        <f>$F$6/$N$6</f>
        <v>11625000</v>
      </c>
      <c r="F25" s="132">
        <f t="shared" si="2"/>
        <v>141750</v>
      </c>
      <c r="G25" s="323">
        <f t="shared" si="0"/>
        <v>70052032.258064508</v>
      </c>
      <c r="H25" s="132">
        <f>G25*Deflator!$C$90/Deflator!$C$91</f>
        <v>67416468.093601257</v>
      </c>
      <c r="K25" s="132"/>
    </row>
    <row r="26" spans="1:11" x14ac:dyDescent="0.35">
      <c r="A26">
        <f t="shared" si="1"/>
        <v>2027</v>
      </c>
      <c r="B26" s="132">
        <f>$F$3/$N$3</f>
        <v>11032258.064516129</v>
      </c>
      <c r="C26" s="132">
        <f>$F$4/$N$4</f>
        <v>27036774.193548385</v>
      </c>
      <c r="D26" s="132"/>
      <c r="E26" s="132">
        <f>$F$6/$N$6</f>
        <v>11625000</v>
      </c>
      <c r="F26" s="132">
        <f t="shared" si="2"/>
        <v>141750</v>
      </c>
      <c r="G26" s="323">
        <f t="shared" si="0"/>
        <v>49835782.258064516</v>
      </c>
      <c r="H26" s="132">
        <f>G26*Deflator!$C$90/Deflator!$C$91</f>
        <v>47960813.073109463</v>
      </c>
      <c r="K26" s="132"/>
    </row>
    <row r="27" spans="1:11" x14ac:dyDescent="0.35">
      <c r="A27" s="157" t="s">
        <v>176</v>
      </c>
      <c r="B27" s="158">
        <f t="shared" ref="B27:H27" si="3">SUM(B21:B26)</f>
        <v>56999999.999999993</v>
      </c>
      <c r="C27" s="158">
        <f t="shared" si="3"/>
        <v>139690000</v>
      </c>
      <c r="D27" s="158">
        <f t="shared" si="3"/>
        <v>80865000</v>
      </c>
      <c r="E27" s="158">
        <f t="shared" si="3"/>
        <v>46500000</v>
      </c>
      <c r="F27" s="158">
        <f t="shared" si="3"/>
        <v>567000</v>
      </c>
      <c r="G27" s="158">
        <f t="shared" si="3"/>
        <v>324622000</v>
      </c>
      <c r="H27" s="158">
        <f t="shared" si="3"/>
        <v>312408701.43144876</v>
      </c>
      <c r="K27" s="158"/>
    </row>
    <row r="28" spans="1:11" x14ac:dyDescent="0.35">
      <c r="A28" s="154"/>
    </row>
    <row r="29" spans="1:11" x14ac:dyDescent="0.35">
      <c r="A29" s="153"/>
    </row>
    <row r="30" spans="1:11" x14ac:dyDescent="0.35">
      <c r="A30" s="154"/>
    </row>
    <row r="31" spans="1:11" x14ac:dyDescent="0.35">
      <c r="A31" s="154"/>
    </row>
    <row r="32" spans="1:11" x14ac:dyDescent="0.35">
      <c r="A32" s="154"/>
    </row>
    <row r="33" spans="1:1" x14ac:dyDescent="0.35">
      <c r="A33" s="154"/>
    </row>
    <row r="34" spans="1:1" x14ac:dyDescent="0.35">
      <c r="A34" s="154"/>
    </row>
  </sheetData>
  <sheetProtection algorithmName="SHA-512" hashValue="VhPYjpH2TupyCssboYE0vTVMzvQfTEgimM9HPcIVHtdvPljlt3QDKcA681FH7LcjxgQj3JLtpAvNHj0UDxuEfw==" saltValue="M+BGAYGUCkhTWfsH6LtXug==" spinCount="100000" sheet="1" objects="1" scenarios="1"/>
  <pageMargins left="0.7" right="0.7" top="0.75" bottom="0.75" header="0.3" footer="0.3"/>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CDE0FF"/>
  </sheetPr>
  <dimension ref="A1:Q98"/>
  <sheetViews>
    <sheetView workbookViewId="0">
      <pane xSplit="1" ySplit="5" topLeftCell="B62" activePane="bottomRight" state="frozen"/>
      <selection activeCell="E12" sqref="E12"/>
      <selection pane="topRight" activeCell="E12" sqref="E12"/>
      <selection pane="bottomLeft" activeCell="E12" sqref="E12"/>
      <selection pane="bottomRight" activeCell="E12" sqref="E12"/>
    </sheetView>
  </sheetViews>
  <sheetFormatPr defaultColWidth="8.7265625" defaultRowHeight="14.5" x14ac:dyDescent="0.35"/>
  <cols>
    <col min="1" max="1" width="13.7265625" style="8" customWidth="1"/>
    <col min="2" max="5" width="10.453125" style="8" customWidth="1"/>
    <col min="6" max="6" width="11.453125" style="8" customWidth="1"/>
    <col min="7" max="10" width="10.453125" style="8" customWidth="1"/>
    <col min="11" max="12" width="10.7265625" style="8" customWidth="1"/>
    <col min="13" max="15" width="10.453125" style="8" customWidth="1"/>
    <col min="16" max="16" width="11.453125" style="8" customWidth="1"/>
    <col min="17" max="17" width="17.54296875" style="8" customWidth="1"/>
    <col min="18" max="16384" width="8.7265625" style="8"/>
  </cols>
  <sheetData>
    <row r="1" spans="1:17" ht="19.899999999999999" customHeight="1" x14ac:dyDescent="0.35">
      <c r="A1" s="435" t="s">
        <v>826</v>
      </c>
      <c r="B1" s="435"/>
      <c r="C1" s="435"/>
      <c r="D1" s="435"/>
      <c r="E1" s="435"/>
      <c r="F1" s="435"/>
      <c r="G1" s="435"/>
      <c r="H1" s="435"/>
      <c r="I1" s="435"/>
      <c r="J1" s="435"/>
      <c r="K1" s="435"/>
      <c r="L1" s="435"/>
      <c r="M1" s="435"/>
      <c r="N1" s="435"/>
      <c r="O1" s="435"/>
      <c r="P1" s="435"/>
      <c r="Q1" s="60"/>
    </row>
    <row r="2" spans="1:17" ht="13.9" customHeight="1" x14ac:dyDescent="0.35">
      <c r="A2" s="439" t="s">
        <v>827</v>
      </c>
      <c r="B2" s="439"/>
      <c r="C2" s="439"/>
      <c r="D2" s="439"/>
      <c r="E2" s="439"/>
      <c r="F2" s="439"/>
      <c r="G2" s="439"/>
      <c r="H2" s="439"/>
      <c r="I2" s="439"/>
      <c r="J2" s="439"/>
      <c r="K2" s="439"/>
      <c r="L2" s="439"/>
      <c r="M2" s="439"/>
      <c r="N2" s="439"/>
      <c r="O2" s="439"/>
      <c r="P2" s="439"/>
      <c r="Q2" s="60"/>
    </row>
    <row r="3" spans="1:17" ht="13.9" customHeight="1" x14ac:dyDescent="0.35">
      <c r="A3" s="440" t="s">
        <v>828</v>
      </c>
      <c r="B3" s="61" t="s">
        <v>829</v>
      </c>
      <c r="C3" s="61" t="s">
        <v>830</v>
      </c>
      <c r="D3" s="443" t="s">
        <v>831</v>
      </c>
      <c r="E3" s="444"/>
      <c r="F3" s="444"/>
      <c r="G3" s="444"/>
      <c r="H3" s="444"/>
      <c r="I3" s="444"/>
      <c r="J3" s="444"/>
      <c r="K3" s="444"/>
      <c r="L3" s="444"/>
      <c r="M3" s="444"/>
      <c r="N3" s="444"/>
      <c r="O3" s="444"/>
      <c r="P3" s="444"/>
      <c r="Q3" s="60"/>
    </row>
    <row r="4" spans="1:17" ht="34.15" customHeight="1" x14ac:dyDescent="0.35">
      <c r="A4" s="441"/>
      <c r="B4" s="62" t="s">
        <v>832</v>
      </c>
      <c r="C4" s="62" t="s">
        <v>833</v>
      </c>
      <c r="D4" s="429" t="s">
        <v>176</v>
      </c>
      <c r="E4" s="62" t="s">
        <v>176</v>
      </c>
      <c r="F4" s="62" t="s">
        <v>176</v>
      </c>
      <c r="G4" s="432" t="s">
        <v>834</v>
      </c>
      <c r="H4" s="433"/>
      <c r="I4" s="440"/>
      <c r="J4" s="59" t="s">
        <v>835</v>
      </c>
      <c r="K4" s="429" t="s">
        <v>836</v>
      </c>
      <c r="L4" s="65" t="s">
        <v>837</v>
      </c>
      <c r="M4" s="429" t="s">
        <v>838</v>
      </c>
      <c r="N4" s="432" t="s">
        <v>839</v>
      </c>
      <c r="O4" s="433"/>
      <c r="P4" s="433"/>
      <c r="Q4" s="417"/>
    </row>
    <row r="5" spans="1:17" ht="36" customHeight="1" x14ac:dyDescent="0.35">
      <c r="A5" s="441"/>
      <c r="B5" s="62" t="s">
        <v>840</v>
      </c>
      <c r="C5" s="62" t="s">
        <v>841</v>
      </c>
      <c r="D5" s="430"/>
      <c r="E5" s="62" t="s">
        <v>842</v>
      </c>
      <c r="F5" s="62" t="s">
        <v>843</v>
      </c>
      <c r="G5" s="434"/>
      <c r="H5" s="435"/>
      <c r="I5" s="441"/>
      <c r="J5" s="59" t="s">
        <v>844</v>
      </c>
      <c r="K5" s="430"/>
      <c r="L5" s="65" t="s">
        <v>845</v>
      </c>
      <c r="M5" s="430"/>
      <c r="N5" s="434"/>
      <c r="O5" s="435"/>
      <c r="P5" s="435"/>
      <c r="Q5" s="417"/>
    </row>
    <row r="6" spans="1:17" ht="15" customHeight="1" x14ac:dyDescent="0.35">
      <c r="A6" s="441"/>
      <c r="B6" s="62"/>
      <c r="C6" s="62"/>
      <c r="D6" s="430"/>
      <c r="E6" s="62"/>
      <c r="F6" s="62"/>
      <c r="G6" s="436"/>
      <c r="H6" s="437"/>
      <c r="I6" s="442"/>
      <c r="J6" s="59"/>
      <c r="K6" s="430"/>
      <c r="L6" s="65" t="s">
        <v>846</v>
      </c>
      <c r="M6" s="430"/>
      <c r="N6" s="436"/>
      <c r="O6" s="437"/>
      <c r="P6" s="437"/>
      <c r="Q6" s="417"/>
    </row>
    <row r="7" spans="1:17" ht="15" customHeight="1" x14ac:dyDescent="0.35">
      <c r="A7" s="442"/>
      <c r="B7" s="63"/>
      <c r="C7" s="63"/>
      <c r="D7" s="431"/>
      <c r="E7" s="63"/>
      <c r="F7" s="63"/>
      <c r="G7" s="64" t="s">
        <v>176</v>
      </c>
      <c r="H7" s="67" t="s">
        <v>847</v>
      </c>
      <c r="I7" s="63" t="s">
        <v>844</v>
      </c>
      <c r="J7" s="64"/>
      <c r="K7" s="431"/>
      <c r="L7" s="66" t="s">
        <v>848</v>
      </c>
      <c r="M7" s="431"/>
      <c r="N7" s="66" t="s">
        <v>176</v>
      </c>
      <c r="O7" s="66" t="s">
        <v>842</v>
      </c>
      <c r="P7" s="66" t="s">
        <v>843</v>
      </c>
      <c r="Q7" s="60"/>
    </row>
    <row r="8" spans="1:17" ht="15" customHeight="1" x14ac:dyDescent="0.35">
      <c r="A8" s="168">
        <v>1940</v>
      </c>
      <c r="B8" s="169">
        <v>98.2</v>
      </c>
      <c r="C8" s="169">
        <v>7.7100000000000002E-2</v>
      </c>
      <c r="D8" s="169">
        <v>6.5299999999999997E-2</v>
      </c>
      <c r="E8" s="169">
        <v>6.1400000000000003E-2</v>
      </c>
      <c r="F8" s="169">
        <v>6.6199999999999995E-2</v>
      </c>
      <c r="G8" s="169">
        <v>7.3899999999999993E-2</v>
      </c>
      <c r="H8" s="169">
        <v>7.3899999999999993E-2</v>
      </c>
      <c r="I8" s="169">
        <v>7.3899999999999993E-2</v>
      </c>
      <c r="J8" s="170">
        <v>4.6300000000000001E-2</v>
      </c>
      <c r="K8" s="171">
        <v>7.7100000000000002E-2</v>
      </c>
      <c r="L8" s="171">
        <v>4.4200000000000003E-2</v>
      </c>
      <c r="M8" s="171">
        <v>6.2700000000000006E-2</v>
      </c>
      <c r="N8" s="171">
        <v>0.13780000000000001</v>
      </c>
      <c r="O8" s="171">
        <v>0.14299999999999999</v>
      </c>
      <c r="P8" s="171">
        <v>0.13569999999999999</v>
      </c>
      <c r="Q8" s="60"/>
    </row>
    <row r="9" spans="1:17" ht="15" customHeight="1" x14ac:dyDescent="0.35">
      <c r="A9" s="168">
        <v>1941</v>
      </c>
      <c r="B9" s="169">
        <v>116.2</v>
      </c>
      <c r="C9" s="169">
        <v>7.9899999999999999E-2</v>
      </c>
      <c r="D9" s="169">
        <v>7.2400000000000006E-2</v>
      </c>
      <c r="E9" s="169">
        <v>7.5600000000000001E-2</v>
      </c>
      <c r="F9" s="169">
        <v>6.9699999999999998E-2</v>
      </c>
      <c r="G9" s="169">
        <v>7.6600000000000001E-2</v>
      </c>
      <c r="H9" s="169">
        <v>7.6600000000000001E-2</v>
      </c>
      <c r="I9" s="169">
        <v>7.6600000000000001E-2</v>
      </c>
      <c r="J9" s="170">
        <v>4.19E-2</v>
      </c>
      <c r="K9" s="171">
        <v>7.9899999999999999E-2</v>
      </c>
      <c r="L9" s="171">
        <v>4.3900000000000002E-2</v>
      </c>
      <c r="M9" s="171">
        <v>6.4100000000000004E-2</v>
      </c>
      <c r="N9" s="171">
        <v>0.1487</v>
      </c>
      <c r="O9" s="171">
        <v>0.15160000000000001</v>
      </c>
      <c r="P9" s="171">
        <v>0.1421</v>
      </c>
      <c r="Q9" s="60"/>
    </row>
    <row r="10" spans="1:17" ht="15" customHeight="1" x14ac:dyDescent="0.35">
      <c r="A10" s="168">
        <v>1942</v>
      </c>
      <c r="B10" s="169">
        <v>147.69999999999999</v>
      </c>
      <c r="C10" s="169">
        <v>8.5900000000000004E-2</v>
      </c>
      <c r="D10" s="169">
        <v>8.2299999999999998E-2</v>
      </c>
      <c r="E10" s="169">
        <v>9.2499999999999999E-2</v>
      </c>
      <c r="F10" s="169">
        <v>6.3299999999999995E-2</v>
      </c>
      <c r="G10" s="169">
        <v>8.3799999999999999E-2</v>
      </c>
      <c r="H10" s="169">
        <v>8.3799999999999999E-2</v>
      </c>
      <c r="I10" s="169">
        <v>8.3799999999999999E-2</v>
      </c>
      <c r="J10" s="170">
        <v>4.1099999999999998E-2</v>
      </c>
      <c r="K10" s="171">
        <v>8.5900000000000004E-2</v>
      </c>
      <c r="L10" s="171">
        <v>4.7100000000000003E-2</v>
      </c>
      <c r="M10" s="171">
        <v>5.5300000000000002E-2</v>
      </c>
      <c r="N10" s="171">
        <v>0.1555</v>
      </c>
      <c r="O10" s="171">
        <v>0.15570000000000001</v>
      </c>
      <c r="P10" s="171">
        <v>0.15329999999999999</v>
      </c>
      <c r="Q10" s="60"/>
    </row>
    <row r="11" spans="1:17" ht="15" customHeight="1" x14ac:dyDescent="0.35">
      <c r="A11" s="168">
        <v>1943</v>
      </c>
      <c r="B11" s="169">
        <v>184.6</v>
      </c>
      <c r="C11" s="169">
        <v>9.1499999999999998E-2</v>
      </c>
      <c r="D11" s="169">
        <v>9.1200000000000003E-2</v>
      </c>
      <c r="E11" s="169">
        <v>9.9299999999999999E-2</v>
      </c>
      <c r="F11" s="169">
        <v>6.25E-2</v>
      </c>
      <c r="G11" s="169">
        <v>9.2799999999999994E-2</v>
      </c>
      <c r="H11" s="169">
        <v>9.2799999999999994E-2</v>
      </c>
      <c r="I11" s="169">
        <v>9.2799999999999994E-2</v>
      </c>
      <c r="J11" s="170">
        <v>4.3799999999999999E-2</v>
      </c>
      <c r="K11" s="171">
        <v>9.1499999999999998E-2</v>
      </c>
      <c r="L11" s="171">
        <v>5.16E-2</v>
      </c>
      <c r="M11" s="171">
        <v>5.4199999999999998E-2</v>
      </c>
      <c r="N11" s="171">
        <v>0.1525</v>
      </c>
      <c r="O11" s="171">
        <v>0.1525</v>
      </c>
      <c r="P11" s="171">
        <v>0.15620000000000001</v>
      </c>
      <c r="Q11" s="60"/>
    </row>
    <row r="12" spans="1:17" ht="15" customHeight="1" x14ac:dyDescent="0.35">
      <c r="A12" s="168">
        <v>1944</v>
      </c>
      <c r="B12" s="169">
        <v>213.8</v>
      </c>
      <c r="C12" s="169">
        <v>9.4700000000000006E-2</v>
      </c>
      <c r="D12" s="169">
        <v>8.3799999999999999E-2</v>
      </c>
      <c r="E12" s="169">
        <v>8.6900000000000005E-2</v>
      </c>
      <c r="F12" s="169">
        <v>6.7599999999999993E-2</v>
      </c>
      <c r="G12" s="169">
        <v>9.9599999999999994E-2</v>
      </c>
      <c r="H12" s="169">
        <v>9.9599999999999994E-2</v>
      </c>
      <c r="I12" s="169">
        <v>9.9599999999999994E-2</v>
      </c>
      <c r="J12" s="170">
        <v>4.6100000000000002E-2</v>
      </c>
      <c r="K12" s="171">
        <v>9.4700000000000006E-2</v>
      </c>
      <c r="L12" s="171">
        <v>5.6899999999999999E-2</v>
      </c>
      <c r="M12" s="171">
        <v>5.79E-2</v>
      </c>
      <c r="N12" s="171">
        <v>0.14810000000000001</v>
      </c>
      <c r="O12" s="171">
        <v>0.14799999999999999</v>
      </c>
      <c r="P12" s="171">
        <v>0.1633</v>
      </c>
      <c r="Q12" s="60"/>
    </row>
    <row r="13" spans="1:17" ht="15" customHeight="1" x14ac:dyDescent="0.35">
      <c r="A13" s="168">
        <v>1945</v>
      </c>
      <c r="B13" s="169">
        <v>226.4</v>
      </c>
      <c r="C13" s="169">
        <v>9.7000000000000003E-2</v>
      </c>
      <c r="D13" s="169">
        <v>7.8799999999999995E-2</v>
      </c>
      <c r="E13" s="169">
        <v>7.9000000000000001E-2</v>
      </c>
      <c r="F13" s="169">
        <v>7.7799999999999994E-2</v>
      </c>
      <c r="G13" s="169">
        <v>0.1048</v>
      </c>
      <c r="H13" s="169">
        <v>0.1048</v>
      </c>
      <c r="I13" s="169">
        <v>0.1045</v>
      </c>
      <c r="J13" s="170">
        <v>4.6600000000000003E-2</v>
      </c>
      <c r="K13" s="171">
        <v>9.7000000000000003E-2</v>
      </c>
      <c r="L13" s="171">
        <v>5.9900000000000002E-2</v>
      </c>
      <c r="M13" s="171">
        <v>6.1400000000000003E-2</v>
      </c>
      <c r="N13" s="171">
        <v>0.1381</v>
      </c>
      <c r="O13" s="171">
        <v>0.13800000000000001</v>
      </c>
      <c r="P13" s="171">
        <v>0.16900000000000001</v>
      </c>
      <c r="Q13" s="60"/>
    </row>
    <row r="14" spans="1:17" ht="15" customHeight="1" x14ac:dyDescent="0.35">
      <c r="A14" s="168">
        <v>1946</v>
      </c>
      <c r="B14" s="169">
        <v>228</v>
      </c>
      <c r="C14" s="169">
        <v>0.10440000000000001</v>
      </c>
      <c r="D14" s="169">
        <v>7.9299999999999995E-2</v>
      </c>
      <c r="E14" s="169">
        <v>7.5399999999999995E-2</v>
      </c>
      <c r="F14" s="169">
        <v>9.5799999999999996E-2</v>
      </c>
      <c r="G14" s="169">
        <v>0.1104</v>
      </c>
      <c r="H14" s="169">
        <v>0.1104</v>
      </c>
      <c r="I14" s="169">
        <v>0.11020000000000001</v>
      </c>
      <c r="J14" s="170">
        <v>5.1400000000000001E-2</v>
      </c>
      <c r="K14" s="171">
        <v>0.10440000000000001</v>
      </c>
      <c r="L14" s="171">
        <v>6.2399999999999997E-2</v>
      </c>
      <c r="M14" s="171">
        <v>6.6799999999999998E-2</v>
      </c>
      <c r="N14" s="171">
        <v>0.14019999999999999</v>
      </c>
      <c r="O14" s="171">
        <v>0.13980000000000001</v>
      </c>
      <c r="P14" s="171">
        <v>0.15959999999999999</v>
      </c>
      <c r="Q14" s="60"/>
    </row>
    <row r="15" spans="1:17" ht="15" customHeight="1" x14ac:dyDescent="0.35">
      <c r="A15" s="168">
        <v>1947</v>
      </c>
      <c r="B15" s="169">
        <v>238.9</v>
      </c>
      <c r="C15" s="169">
        <v>0.1158</v>
      </c>
      <c r="D15" s="169">
        <v>8.9599999999999999E-2</v>
      </c>
      <c r="E15" s="169">
        <v>8.1299999999999997E-2</v>
      </c>
      <c r="F15" s="169">
        <v>9.5399999999999999E-2</v>
      </c>
      <c r="G15" s="169">
        <v>0.1187</v>
      </c>
      <c r="H15" s="169">
        <v>0.1187</v>
      </c>
      <c r="I15" s="169">
        <v>0.1186</v>
      </c>
      <c r="J15" s="170">
        <v>0.1246</v>
      </c>
      <c r="K15" s="171">
        <v>0.1158</v>
      </c>
      <c r="L15" s="171">
        <v>6.6100000000000006E-2</v>
      </c>
      <c r="M15" s="171">
        <v>6.88E-2</v>
      </c>
      <c r="N15" s="171">
        <v>0.15609999999999999</v>
      </c>
      <c r="O15" s="171">
        <v>0.15570000000000001</v>
      </c>
      <c r="P15" s="171">
        <v>0.15809999999999999</v>
      </c>
      <c r="Q15" s="60"/>
    </row>
    <row r="16" spans="1:17" ht="15" customHeight="1" x14ac:dyDescent="0.35">
      <c r="A16" s="168">
        <v>1948</v>
      </c>
      <c r="B16" s="169">
        <v>261.89999999999998</v>
      </c>
      <c r="C16" s="169">
        <v>0.1268</v>
      </c>
      <c r="D16" s="169">
        <v>9.3200000000000005E-2</v>
      </c>
      <c r="E16" s="169">
        <v>7.6300000000000007E-2</v>
      </c>
      <c r="F16" s="169">
        <v>0.1033</v>
      </c>
      <c r="G16" s="169">
        <v>0.12959999999999999</v>
      </c>
      <c r="H16" s="169">
        <v>0.12959999999999999</v>
      </c>
      <c r="I16" s="169">
        <v>0.1295</v>
      </c>
      <c r="J16" s="170">
        <v>7.0000000000000007E-2</v>
      </c>
      <c r="K16" s="171">
        <v>0.1268</v>
      </c>
      <c r="L16" s="171">
        <v>7.1400000000000005E-2</v>
      </c>
      <c r="M16" s="171">
        <v>7.5700000000000003E-2</v>
      </c>
      <c r="N16" s="171">
        <v>0.1736</v>
      </c>
      <c r="O16" s="171">
        <v>0.17080000000000001</v>
      </c>
      <c r="P16" s="171">
        <v>0.184</v>
      </c>
      <c r="Q16" s="60"/>
    </row>
    <row r="17" spans="1:17" ht="15" customHeight="1" x14ac:dyDescent="0.35">
      <c r="A17" s="168">
        <v>1949</v>
      </c>
      <c r="B17" s="169">
        <v>276.5</v>
      </c>
      <c r="C17" s="169">
        <v>0.13109999999999999</v>
      </c>
      <c r="D17" s="169">
        <v>8.9599999999999999E-2</v>
      </c>
      <c r="E17" s="169">
        <v>7.5899999999999995E-2</v>
      </c>
      <c r="F17" s="169">
        <v>9.8699999999999996E-2</v>
      </c>
      <c r="G17" s="169">
        <v>0.1331</v>
      </c>
      <c r="H17" s="169">
        <v>0.1331</v>
      </c>
      <c r="I17" s="169">
        <v>0.13300000000000001</v>
      </c>
      <c r="J17" s="170">
        <v>7.3700000000000002E-2</v>
      </c>
      <c r="K17" s="171">
        <v>0.13109999999999999</v>
      </c>
      <c r="L17" s="171">
        <v>6.9400000000000003E-2</v>
      </c>
      <c r="M17" s="171">
        <v>7.3700000000000002E-2</v>
      </c>
      <c r="N17" s="171">
        <v>0.18229999999999999</v>
      </c>
      <c r="O17" s="171">
        <v>0.18</v>
      </c>
      <c r="P17" s="171">
        <v>0.18770000000000001</v>
      </c>
      <c r="Q17" s="60"/>
    </row>
    <row r="18" spans="1:17" ht="15" customHeight="1" x14ac:dyDescent="0.35">
      <c r="A18" s="168">
        <v>1950</v>
      </c>
      <c r="B18" s="169">
        <v>278.7</v>
      </c>
      <c r="C18" s="169">
        <v>0.1293</v>
      </c>
      <c r="D18" s="169">
        <v>9.4100000000000003E-2</v>
      </c>
      <c r="E18" s="169">
        <v>7.6700000000000004E-2</v>
      </c>
      <c r="F18" s="169">
        <v>0.1055</v>
      </c>
      <c r="G18" s="169">
        <v>0.1313</v>
      </c>
      <c r="H18" s="169">
        <v>0.13139999999999999</v>
      </c>
      <c r="I18" s="169">
        <v>0.13089999999999999</v>
      </c>
      <c r="J18" s="170">
        <v>6.9900000000000004E-2</v>
      </c>
      <c r="K18" s="171">
        <v>0.1293</v>
      </c>
      <c r="L18" s="171">
        <v>7.3099999999999998E-2</v>
      </c>
      <c r="M18" s="171">
        <v>7.8799999999999995E-2</v>
      </c>
      <c r="N18" s="171">
        <v>0.1804</v>
      </c>
      <c r="O18" s="171">
        <v>0.17929999999999999</v>
      </c>
      <c r="P18" s="171">
        <v>0.18210000000000001</v>
      </c>
      <c r="Q18" s="60"/>
    </row>
    <row r="19" spans="1:17" ht="15" customHeight="1" x14ac:dyDescent="0.35">
      <c r="A19" s="168">
        <v>1951</v>
      </c>
      <c r="B19" s="169">
        <v>327.10000000000002</v>
      </c>
      <c r="C19" s="169">
        <v>0.13619999999999999</v>
      </c>
      <c r="D19" s="169">
        <v>9.4700000000000006E-2</v>
      </c>
      <c r="E19" s="169">
        <v>8.1299999999999997E-2</v>
      </c>
      <c r="F19" s="169">
        <v>0.115</v>
      </c>
      <c r="G19" s="169">
        <v>0.13880000000000001</v>
      </c>
      <c r="H19" s="169">
        <v>0.1389</v>
      </c>
      <c r="I19" s="169">
        <v>0.13830000000000001</v>
      </c>
      <c r="J19" s="170">
        <v>8.3599999999999994E-2</v>
      </c>
      <c r="K19" s="171">
        <v>0.13619999999999999</v>
      </c>
      <c r="L19" s="171">
        <v>7.2099999999999997E-2</v>
      </c>
      <c r="M19" s="171">
        <v>8.0500000000000002E-2</v>
      </c>
      <c r="N19" s="171">
        <v>0.19239999999999999</v>
      </c>
      <c r="O19" s="171">
        <v>0.193</v>
      </c>
      <c r="P19" s="171">
        <v>0.1898</v>
      </c>
      <c r="Q19" s="60"/>
    </row>
    <row r="20" spans="1:17" ht="15" customHeight="1" x14ac:dyDescent="0.35">
      <c r="A20" s="168">
        <v>1952</v>
      </c>
      <c r="B20" s="169">
        <v>357.1</v>
      </c>
      <c r="C20" s="169">
        <v>0.14169999999999999</v>
      </c>
      <c r="D20" s="169">
        <v>9.4399999999999998E-2</v>
      </c>
      <c r="E20" s="169">
        <v>8.4500000000000006E-2</v>
      </c>
      <c r="F20" s="169">
        <v>0.1258</v>
      </c>
      <c r="G20" s="169">
        <v>0.14430000000000001</v>
      </c>
      <c r="H20" s="169">
        <v>0.14430000000000001</v>
      </c>
      <c r="I20" s="169">
        <v>0.14380000000000001</v>
      </c>
      <c r="J20" s="170">
        <v>8.3900000000000002E-2</v>
      </c>
      <c r="K20" s="171">
        <v>0.14169999999999999</v>
      </c>
      <c r="L20" s="171">
        <v>7.7700000000000005E-2</v>
      </c>
      <c r="M20" s="171">
        <v>8.7800000000000003E-2</v>
      </c>
      <c r="N20" s="171">
        <v>0.2019</v>
      </c>
      <c r="O20" s="171">
        <v>0.20180000000000001</v>
      </c>
      <c r="P20" s="171">
        <v>0.20250000000000001</v>
      </c>
      <c r="Q20" s="60"/>
    </row>
    <row r="21" spans="1:17" ht="15" customHeight="1" x14ac:dyDescent="0.35">
      <c r="A21" s="168">
        <v>1953</v>
      </c>
      <c r="B21" s="169">
        <v>382.1</v>
      </c>
      <c r="C21" s="169">
        <v>0.14430000000000001</v>
      </c>
      <c r="D21" s="169">
        <v>0.10150000000000001</v>
      </c>
      <c r="E21" s="169">
        <v>9.3299999999999994E-2</v>
      </c>
      <c r="F21" s="169">
        <v>0.12670000000000001</v>
      </c>
      <c r="G21" s="169">
        <v>0.1464</v>
      </c>
      <c r="H21" s="169">
        <v>0.14649999999999999</v>
      </c>
      <c r="I21" s="169">
        <v>0.14599999999999999</v>
      </c>
      <c r="J21" s="170">
        <v>8.7900000000000006E-2</v>
      </c>
      <c r="K21" s="171">
        <v>0.14430000000000001</v>
      </c>
      <c r="L21" s="171">
        <v>8.2199999999999995E-2</v>
      </c>
      <c r="M21" s="171">
        <v>9.2299999999999993E-2</v>
      </c>
      <c r="N21" s="171">
        <v>0.20449999999999999</v>
      </c>
      <c r="O21" s="171">
        <v>0.20419999999999999</v>
      </c>
      <c r="P21" s="171">
        <v>0.2089</v>
      </c>
      <c r="Q21" s="60"/>
    </row>
    <row r="22" spans="1:17" ht="15" customHeight="1" x14ac:dyDescent="0.35">
      <c r="A22" s="168">
        <v>1954</v>
      </c>
      <c r="B22" s="169">
        <v>387.2</v>
      </c>
      <c r="C22" s="169">
        <v>0.14599999999999999</v>
      </c>
      <c r="D22" s="169">
        <v>0.1046</v>
      </c>
      <c r="E22" s="169">
        <v>9.4899999999999998E-2</v>
      </c>
      <c r="F22" s="169">
        <v>0.13650000000000001</v>
      </c>
      <c r="G22" s="169">
        <v>0.14829999999999999</v>
      </c>
      <c r="H22" s="169">
        <v>0.14829999999999999</v>
      </c>
      <c r="I22" s="169">
        <v>0.14810000000000001</v>
      </c>
      <c r="J22" s="170">
        <v>8.4199999999999997E-2</v>
      </c>
      <c r="K22" s="171">
        <v>0.14599999999999999</v>
      </c>
      <c r="L22" s="171">
        <v>8.5099999999999995E-2</v>
      </c>
      <c r="M22" s="171">
        <v>9.8699999999999996E-2</v>
      </c>
      <c r="N22" s="171">
        <v>0.2026</v>
      </c>
      <c r="O22" s="171">
        <v>0.20230000000000001</v>
      </c>
      <c r="P22" s="171">
        <v>0.20730000000000001</v>
      </c>
      <c r="Q22" s="60"/>
    </row>
    <row r="23" spans="1:17" ht="15" customHeight="1" x14ac:dyDescent="0.35">
      <c r="A23" s="168">
        <v>1955</v>
      </c>
      <c r="B23" s="169">
        <v>406.3</v>
      </c>
      <c r="C23" s="169">
        <v>0.14710000000000001</v>
      </c>
      <c r="D23" s="169">
        <v>0.1081</v>
      </c>
      <c r="E23" s="169">
        <v>9.8000000000000004E-2</v>
      </c>
      <c r="F23" s="169">
        <v>0.13039999999999999</v>
      </c>
      <c r="G23" s="169">
        <v>0.1482</v>
      </c>
      <c r="H23" s="169">
        <v>0.1482</v>
      </c>
      <c r="I23" s="169">
        <v>0.14810000000000001</v>
      </c>
      <c r="J23" s="170">
        <v>8.5800000000000001E-2</v>
      </c>
      <c r="K23" s="171">
        <v>0.14710000000000001</v>
      </c>
      <c r="L23" s="171">
        <v>8.7400000000000005E-2</v>
      </c>
      <c r="M23" s="171">
        <v>9.5500000000000002E-2</v>
      </c>
      <c r="N23" s="171">
        <v>0.20830000000000001</v>
      </c>
      <c r="O23" s="171">
        <v>0.20860000000000001</v>
      </c>
      <c r="P23" s="171">
        <v>0.20330000000000001</v>
      </c>
      <c r="Q23" s="60"/>
    </row>
    <row r="24" spans="1:17" ht="15" customHeight="1" x14ac:dyDescent="0.35">
      <c r="A24" s="168">
        <v>1956</v>
      </c>
      <c r="B24" s="169">
        <v>438.3</v>
      </c>
      <c r="C24" s="169">
        <v>0.15090000000000001</v>
      </c>
      <c r="D24" s="169">
        <v>0.1129</v>
      </c>
      <c r="E24" s="169">
        <v>0.10390000000000001</v>
      </c>
      <c r="F24" s="169">
        <v>0.13009999999999999</v>
      </c>
      <c r="G24" s="169">
        <v>0.15</v>
      </c>
      <c r="H24" s="169">
        <v>0.15</v>
      </c>
      <c r="I24" s="169">
        <v>0.14990000000000001</v>
      </c>
      <c r="J24" s="170">
        <v>8.7099999999999997E-2</v>
      </c>
      <c r="K24" s="171">
        <v>0.15090000000000001</v>
      </c>
      <c r="L24" s="171">
        <v>8.8400000000000006E-2</v>
      </c>
      <c r="M24" s="171">
        <v>9.5200000000000007E-2</v>
      </c>
      <c r="N24" s="171">
        <v>0.21929999999999999</v>
      </c>
      <c r="O24" s="171">
        <v>0.2198</v>
      </c>
      <c r="P24" s="171">
        <v>0.2107</v>
      </c>
      <c r="Q24" s="60"/>
    </row>
    <row r="25" spans="1:17" ht="15" customHeight="1" x14ac:dyDescent="0.35">
      <c r="A25" s="168">
        <v>1957</v>
      </c>
      <c r="B25" s="169">
        <v>463.4</v>
      </c>
      <c r="C25" s="169">
        <v>0.1565</v>
      </c>
      <c r="D25" s="169">
        <v>0.11849999999999999</v>
      </c>
      <c r="E25" s="169">
        <v>0.10929999999999999</v>
      </c>
      <c r="F25" s="169">
        <v>0.1351</v>
      </c>
      <c r="G25" s="169">
        <v>0.1542</v>
      </c>
      <c r="H25" s="169">
        <v>0.1542</v>
      </c>
      <c r="I25" s="169">
        <v>0.15409999999999999</v>
      </c>
      <c r="J25" s="170">
        <v>9.5000000000000001E-2</v>
      </c>
      <c r="K25" s="171">
        <v>0.1565</v>
      </c>
      <c r="L25" s="171">
        <v>9.0399999999999994E-2</v>
      </c>
      <c r="M25" s="171">
        <v>9.8400000000000001E-2</v>
      </c>
      <c r="N25" s="171">
        <v>0.23150000000000001</v>
      </c>
      <c r="O25" s="171">
        <v>0.23219999999999999</v>
      </c>
      <c r="P25" s="171">
        <v>0.22120000000000001</v>
      </c>
      <c r="Q25" s="60"/>
    </row>
    <row r="26" spans="1:17" ht="15" customHeight="1" x14ac:dyDescent="0.35">
      <c r="A26" s="168">
        <v>1958</v>
      </c>
      <c r="B26" s="169">
        <v>473.5</v>
      </c>
      <c r="C26" s="169">
        <v>0.16120000000000001</v>
      </c>
      <c r="D26" s="169">
        <v>0.1255</v>
      </c>
      <c r="E26" s="169">
        <v>0.1144</v>
      </c>
      <c r="F26" s="169">
        <v>0.14399999999999999</v>
      </c>
      <c r="G26" s="169">
        <v>0.1588</v>
      </c>
      <c r="H26" s="169">
        <v>0.1588</v>
      </c>
      <c r="I26" s="169">
        <v>0.15870000000000001</v>
      </c>
      <c r="J26" s="170">
        <v>0.1053</v>
      </c>
      <c r="K26" s="171">
        <v>0.16120000000000001</v>
      </c>
      <c r="L26" s="171">
        <v>9.6799999999999997E-2</v>
      </c>
      <c r="M26" s="171">
        <v>0.107</v>
      </c>
      <c r="N26" s="171">
        <v>0.23880000000000001</v>
      </c>
      <c r="O26" s="171">
        <v>0.2397</v>
      </c>
      <c r="P26" s="171">
        <v>0.22800000000000001</v>
      </c>
      <c r="Q26" s="60"/>
    </row>
    <row r="27" spans="1:17" ht="15" customHeight="1" x14ac:dyDescent="0.35">
      <c r="A27" s="168">
        <v>1959</v>
      </c>
      <c r="B27" s="169">
        <v>504.6</v>
      </c>
      <c r="C27" s="169">
        <v>0.16370000000000001</v>
      </c>
      <c r="D27" s="169">
        <v>0.13070000000000001</v>
      </c>
      <c r="E27" s="169">
        <v>0.12230000000000001</v>
      </c>
      <c r="F27" s="169">
        <v>0.1419</v>
      </c>
      <c r="G27" s="169">
        <v>0.161</v>
      </c>
      <c r="H27" s="169">
        <v>0.161</v>
      </c>
      <c r="I27" s="169">
        <v>0.16089999999999999</v>
      </c>
      <c r="J27" s="170">
        <v>0.11260000000000001</v>
      </c>
      <c r="K27" s="171">
        <v>0.16370000000000001</v>
      </c>
      <c r="L27" s="171">
        <v>0.1016</v>
      </c>
      <c r="M27" s="171">
        <v>0.11070000000000001</v>
      </c>
      <c r="N27" s="171">
        <v>0.24299999999999999</v>
      </c>
      <c r="O27" s="171">
        <v>0.24399999999999999</v>
      </c>
      <c r="P27" s="171">
        <v>0.23169999999999999</v>
      </c>
      <c r="Q27" s="60"/>
    </row>
    <row r="28" spans="1:17" ht="15" customHeight="1" x14ac:dyDescent="0.35">
      <c r="A28" s="168">
        <v>1960</v>
      </c>
      <c r="B28" s="169">
        <v>534.29999999999995</v>
      </c>
      <c r="C28" s="169">
        <v>0.16589999999999999</v>
      </c>
      <c r="D28" s="169">
        <v>0.13270000000000001</v>
      </c>
      <c r="E28" s="169">
        <v>0.121</v>
      </c>
      <c r="F28" s="169">
        <v>0.1484</v>
      </c>
      <c r="G28" s="169">
        <v>0.16400000000000001</v>
      </c>
      <c r="H28" s="169">
        <v>0.1641</v>
      </c>
      <c r="I28" s="169">
        <v>0.16389999999999999</v>
      </c>
      <c r="J28" s="170">
        <v>0.1132</v>
      </c>
      <c r="K28" s="171">
        <v>0.16589999999999999</v>
      </c>
      <c r="L28" s="171">
        <v>0.1008</v>
      </c>
      <c r="M28" s="171">
        <v>0.1144</v>
      </c>
      <c r="N28" s="171">
        <v>0.2447</v>
      </c>
      <c r="O28" s="171">
        <v>0.24590000000000001</v>
      </c>
      <c r="P28" s="171">
        <v>0.23480000000000001</v>
      </c>
      <c r="Q28" s="60"/>
    </row>
    <row r="29" spans="1:17" ht="15" customHeight="1" x14ac:dyDescent="0.35">
      <c r="A29" s="168">
        <v>1961</v>
      </c>
      <c r="B29" s="169">
        <v>546.6</v>
      </c>
      <c r="C29" s="169">
        <v>0.16819999999999999</v>
      </c>
      <c r="D29" s="169">
        <v>0.13569999999999999</v>
      </c>
      <c r="E29" s="169">
        <v>0.12330000000000001</v>
      </c>
      <c r="F29" s="169">
        <v>0.15140000000000001</v>
      </c>
      <c r="G29" s="169">
        <v>0.1663</v>
      </c>
      <c r="H29" s="169">
        <v>0.1663</v>
      </c>
      <c r="I29" s="169">
        <v>0.16619999999999999</v>
      </c>
      <c r="J29" s="170">
        <v>0.1111</v>
      </c>
      <c r="K29" s="171">
        <v>0.16819999999999999</v>
      </c>
      <c r="L29" s="171">
        <v>0.10580000000000001</v>
      </c>
      <c r="M29" s="171">
        <v>0.1206</v>
      </c>
      <c r="N29" s="171">
        <v>0.24610000000000001</v>
      </c>
      <c r="O29" s="171">
        <v>0.24729999999999999</v>
      </c>
      <c r="P29" s="171">
        <v>0.2366</v>
      </c>
      <c r="Q29" s="60"/>
    </row>
    <row r="30" spans="1:17" ht="15" customHeight="1" x14ac:dyDescent="0.35">
      <c r="A30" s="168">
        <v>1962</v>
      </c>
      <c r="B30" s="169">
        <v>585.70000000000005</v>
      </c>
      <c r="C30" s="169">
        <v>0.1699</v>
      </c>
      <c r="D30" s="169">
        <v>0.13589999999999999</v>
      </c>
      <c r="E30" s="169">
        <v>0.1234</v>
      </c>
      <c r="F30" s="169">
        <v>0.15040000000000001</v>
      </c>
      <c r="G30" s="169">
        <v>0.1678</v>
      </c>
      <c r="H30" s="169">
        <v>0.1678</v>
      </c>
      <c r="I30" s="169">
        <v>0.16769999999999999</v>
      </c>
      <c r="J30" s="170">
        <v>0.1115</v>
      </c>
      <c r="K30" s="171">
        <v>0.1699</v>
      </c>
      <c r="L30" s="171">
        <v>0.1079</v>
      </c>
      <c r="M30" s="171">
        <v>0.1225</v>
      </c>
      <c r="N30" s="171">
        <v>0.24809999999999999</v>
      </c>
      <c r="O30" s="171">
        <v>0.24940000000000001</v>
      </c>
      <c r="P30" s="171">
        <v>0.2387</v>
      </c>
      <c r="Q30" s="60"/>
    </row>
    <row r="31" spans="1:17" ht="15" customHeight="1" x14ac:dyDescent="0.35">
      <c r="A31" s="168">
        <v>1963</v>
      </c>
      <c r="B31" s="169">
        <v>618.20000000000005</v>
      </c>
      <c r="C31" s="169">
        <v>0.1719</v>
      </c>
      <c r="D31" s="169">
        <v>0.14180000000000001</v>
      </c>
      <c r="E31" s="169">
        <v>0.129</v>
      </c>
      <c r="F31" s="169">
        <v>0.156</v>
      </c>
      <c r="G31" s="169">
        <v>0.16980000000000001</v>
      </c>
      <c r="H31" s="169">
        <v>0.16980000000000001</v>
      </c>
      <c r="I31" s="169">
        <v>0.16969999999999999</v>
      </c>
      <c r="J31" s="170">
        <v>0.11550000000000001</v>
      </c>
      <c r="K31" s="171">
        <v>0.1719</v>
      </c>
      <c r="L31" s="171">
        <v>0.1114</v>
      </c>
      <c r="M31" s="171">
        <v>0.1303</v>
      </c>
      <c r="N31" s="171">
        <v>0.25209999999999999</v>
      </c>
      <c r="O31" s="171">
        <v>0.25359999999999999</v>
      </c>
      <c r="P31" s="171">
        <v>0.24099999999999999</v>
      </c>
      <c r="Q31" s="60"/>
    </row>
    <row r="32" spans="1:17" ht="15" customHeight="1" x14ac:dyDescent="0.35">
      <c r="A32" s="168">
        <v>1964</v>
      </c>
      <c r="B32" s="169">
        <v>661.7</v>
      </c>
      <c r="C32" s="169">
        <v>0.1741</v>
      </c>
      <c r="D32" s="169">
        <v>0.14399999999999999</v>
      </c>
      <c r="E32" s="169">
        <v>0.13070000000000001</v>
      </c>
      <c r="F32" s="169">
        <v>0.15790000000000001</v>
      </c>
      <c r="G32" s="169">
        <v>0.17219999999999999</v>
      </c>
      <c r="H32" s="169">
        <v>0.17219999999999999</v>
      </c>
      <c r="I32" s="169">
        <v>0.1721</v>
      </c>
      <c r="J32" s="170">
        <v>0.11749999999999999</v>
      </c>
      <c r="K32" s="171">
        <v>0.1741</v>
      </c>
      <c r="L32" s="171">
        <v>0.115</v>
      </c>
      <c r="M32" s="171">
        <v>0.1366</v>
      </c>
      <c r="N32" s="171">
        <v>0.2525</v>
      </c>
      <c r="O32" s="171">
        <v>0.25380000000000003</v>
      </c>
      <c r="P32" s="171">
        <v>0.24460000000000001</v>
      </c>
      <c r="Q32" s="60"/>
    </row>
    <row r="33" spans="1:17" ht="15" customHeight="1" x14ac:dyDescent="0.35">
      <c r="A33" s="168">
        <v>1965</v>
      </c>
      <c r="B33" s="169">
        <v>709.3</v>
      </c>
      <c r="C33" s="169">
        <v>0.17710000000000001</v>
      </c>
      <c r="D33" s="169">
        <v>0.14599999999999999</v>
      </c>
      <c r="E33" s="169">
        <v>0.1303</v>
      </c>
      <c r="F33" s="169">
        <v>0.1605</v>
      </c>
      <c r="G33" s="169">
        <v>0.17460000000000001</v>
      </c>
      <c r="H33" s="169">
        <v>0.17469999999999999</v>
      </c>
      <c r="I33" s="169">
        <v>0.17449999999999999</v>
      </c>
      <c r="J33" s="170">
        <v>0.1207</v>
      </c>
      <c r="K33" s="171">
        <v>0.17710000000000001</v>
      </c>
      <c r="L33" s="171">
        <v>0.1215</v>
      </c>
      <c r="M33" s="171">
        <v>0.1424</v>
      </c>
      <c r="N33" s="171">
        <v>0.25309999999999999</v>
      </c>
      <c r="O33" s="171">
        <v>0.2545</v>
      </c>
      <c r="P33" s="171">
        <v>0.24679999999999999</v>
      </c>
      <c r="Q33" s="60"/>
    </row>
    <row r="34" spans="1:17" ht="15" customHeight="1" x14ac:dyDescent="0.35">
      <c r="A34" s="168">
        <v>1966</v>
      </c>
      <c r="B34" s="169">
        <v>780.5</v>
      </c>
      <c r="C34" s="169">
        <v>0.18090000000000001</v>
      </c>
      <c r="D34" s="169">
        <v>0.15</v>
      </c>
      <c r="E34" s="169">
        <v>0.13650000000000001</v>
      </c>
      <c r="F34" s="169">
        <v>0.16220000000000001</v>
      </c>
      <c r="G34" s="169">
        <v>0.17780000000000001</v>
      </c>
      <c r="H34" s="169">
        <v>0.17780000000000001</v>
      </c>
      <c r="I34" s="169">
        <v>0.1777</v>
      </c>
      <c r="J34" s="170">
        <v>0.1174</v>
      </c>
      <c r="K34" s="171">
        <v>0.18090000000000001</v>
      </c>
      <c r="L34" s="171">
        <v>0.12559999999999999</v>
      </c>
      <c r="M34" s="171">
        <v>0.1464</v>
      </c>
      <c r="N34" s="171">
        <v>0.25519999999999998</v>
      </c>
      <c r="O34" s="171">
        <v>0.25659999999999999</v>
      </c>
      <c r="P34" s="171">
        <v>0.2482</v>
      </c>
      <c r="Q34" s="60"/>
    </row>
    <row r="35" spans="1:17" ht="15" customHeight="1" x14ac:dyDescent="0.35">
      <c r="A35" s="168">
        <v>1967</v>
      </c>
      <c r="B35" s="169">
        <v>836.5</v>
      </c>
      <c r="C35" s="169">
        <v>0.18640000000000001</v>
      </c>
      <c r="D35" s="169">
        <v>0.15340000000000001</v>
      </c>
      <c r="E35" s="169">
        <v>0.1409</v>
      </c>
      <c r="F35" s="169">
        <v>0.16550000000000001</v>
      </c>
      <c r="G35" s="169">
        <v>0.18260000000000001</v>
      </c>
      <c r="H35" s="169">
        <v>0.18260000000000001</v>
      </c>
      <c r="I35" s="169">
        <v>0.1825</v>
      </c>
      <c r="J35" s="170">
        <v>0.11890000000000001</v>
      </c>
      <c r="K35" s="171">
        <v>0.18640000000000001</v>
      </c>
      <c r="L35" s="171">
        <v>0.1288</v>
      </c>
      <c r="M35" s="171">
        <v>0.14849999999999999</v>
      </c>
      <c r="N35" s="171">
        <v>0.25900000000000001</v>
      </c>
      <c r="O35" s="171">
        <v>0.26</v>
      </c>
      <c r="P35" s="171">
        <v>0.252</v>
      </c>
      <c r="Q35" s="60"/>
    </row>
    <row r="36" spans="1:17" ht="15" customHeight="1" x14ac:dyDescent="0.35">
      <c r="A36" s="168">
        <v>1968</v>
      </c>
      <c r="B36" s="169">
        <v>897.6</v>
      </c>
      <c r="C36" s="169">
        <v>0.19289999999999999</v>
      </c>
      <c r="D36" s="169">
        <v>0.15890000000000001</v>
      </c>
      <c r="E36" s="169">
        <v>0.14760000000000001</v>
      </c>
      <c r="F36" s="169">
        <v>0.1701</v>
      </c>
      <c r="G36" s="169">
        <v>0.18820000000000001</v>
      </c>
      <c r="H36" s="169">
        <v>0.18820000000000001</v>
      </c>
      <c r="I36" s="169">
        <v>0.18809999999999999</v>
      </c>
      <c r="J36" s="170">
        <v>0.1231</v>
      </c>
      <c r="K36" s="171">
        <v>0.19289999999999999</v>
      </c>
      <c r="L36" s="171">
        <v>0.13350000000000001</v>
      </c>
      <c r="M36" s="171">
        <v>0.1517</v>
      </c>
      <c r="N36" s="171">
        <v>0.26469999999999999</v>
      </c>
      <c r="O36" s="171">
        <v>0.26550000000000001</v>
      </c>
      <c r="P36" s="171">
        <v>0.25769999999999998</v>
      </c>
      <c r="Q36" s="60"/>
    </row>
    <row r="37" spans="1:17" ht="15" customHeight="1" x14ac:dyDescent="0.35">
      <c r="A37" s="168">
        <v>1969</v>
      </c>
      <c r="B37" s="169">
        <v>980.3</v>
      </c>
      <c r="C37" s="169">
        <v>0.20169999999999999</v>
      </c>
      <c r="D37" s="169">
        <v>0.16900000000000001</v>
      </c>
      <c r="E37" s="169">
        <v>0.156</v>
      </c>
      <c r="F37" s="169">
        <v>0.18140000000000001</v>
      </c>
      <c r="G37" s="169">
        <v>0.19620000000000001</v>
      </c>
      <c r="H37" s="169">
        <v>0.19620000000000001</v>
      </c>
      <c r="I37" s="169">
        <v>0.1961</v>
      </c>
      <c r="J37" s="170">
        <v>0.1305</v>
      </c>
      <c r="K37" s="171">
        <v>0.20169999999999999</v>
      </c>
      <c r="L37" s="171">
        <v>0.14280000000000001</v>
      </c>
      <c r="M37" s="171">
        <v>0.1633</v>
      </c>
      <c r="N37" s="171">
        <v>0.27479999999999999</v>
      </c>
      <c r="O37" s="171">
        <v>0.27550000000000002</v>
      </c>
      <c r="P37" s="171">
        <v>0.26769999999999999</v>
      </c>
      <c r="Q37" s="60"/>
    </row>
    <row r="38" spans="1:17" ht="15" customHeight="1" x14ac:dyDescent="0.35">
      <c r="A38" s="168">
        <v>1970</v>
      </c>
      <c r="B38" s="172">
        <v>1046.7</v>
      </c>
      <c r="C38" s="169">
        <v>0.21249999999999999</v>
      </c>
      <c r="D38" s="169">
        <v>0.1784</v>
      </c>
      <c r="E38" s="169">
        <v>0.16389999999999999</v>
      </c>
      <c r="F38" s="169">
        <v>0.1905</v>
      </c>
      <c r="G38" s="169">
        <v>0.20549999999999999</v>
      </c>
      <c r="H38" s="169">
        <v>0.20549999999999999</v>
      </c>
      <c r="I38" s="169">
        <v>0.2054</v>
      </c>
      <c r="J38" s="170">
        <v>0.13930000000000001</v>
      </c>
      <c r="K38" s="171">
        <v>0.21249999999999999</v>
      </c>
      <c r="L38" s="171">
        <v>0.15459999999999999</v>
      </c>
      <c r="M38" s="171">
        <v>0.17330000000000001</v>
      </c>
      <c r="N38" s="171">
        <v>0.28899999999999998</v>
      </c>
      <c r="O38" s="171">
        <v>0.28970000000000001</v>
      </c>
      <c r="P38" s="171">
        <v>0.28260000000000002</v>
      </c>
      <c r="Q38" s="60"/>
    </row>
    <row r="39" spans="1:17" ht="15" customHeight="1" x14ac:dyDescent="0.35">
      <c r="A39" s="168">
        <v>1971</v>
      </c>
      <c r="B39" s="172">
        <v>1116.5999999999999</v>
      </c>
      <c r="C39" s="169">
        <v>0.2233</v>
      </c>
      <c r="D39" s="169">
        <v>0.19070000000000001</v>
      </c>
      <c r="E39" s="169">
        <v>0.17419999999999999</v>
      </c>
      <c r="F39" s="169">
        <v>0.20219999999999999</v>
      </c>
      <c r="G39" s="169">
        <v>0.2147</v>
      </c>
      <c r="H39" s="169">
        <v>0.2147</v>
      </c>
      <c r="I39" s="169">
        <v>0.21460000000000001</v>
      </c>
      <c r="J39" s="170">
        <v>0.14910000000000001</v>
      </c>
      <c r="K39" s="171">
        <v>0.2233</v>
      </c>
      <c r="L39" s="171">
        <v>0.17030000000000001</v>
      </c>
      <c r="M39" s="171">
        <v>0.18990000000000001</v>
      </c>
      <c r="N39" s="171">
        <v>0.30690000000000001</v>
      </c>
      <c r="O39" s="171">
        <v>0.30790000000000001</v>
      </c>
      <c r="P39" s="171">
        <v>0.30020000000000002</v>
      </c>
      <c r="Q39" s="60"/>
    </row>
    <row r="40" spans="1:17" ht="15" customHeight="1" x14ac:dyDescent="0.35">
      <c r="A40" s="168">
        <v>1972</v>
      </c>
      <c r="B40" s="172">
        <v>1216.3</v>
      </c>
      <c r="C40" s="169">
        <v>0.2339</v>
      </c>
      <c r="D40" s="169">
        <v>0.20319999999999999</v>
      </c>
      <c r="E40" s="169">
        <v>0.1908</v>
      </c>
      <c r="F40" s="169">
        <v>0.21029999999999999</v>
      </c>
      <c r="G40" s="169">
        <v>0.22289999999999999</v>
      </c>
      <c r="H40" s="169">
        <v>0.22289999999999999</v>
      </c>
      <c r="I40" s="169">
        <v>0.2228</v>
      </c>
      <c r="J40" s="170">
        <v>0.15609999999999999</v>
      </c>
      <c r="K40" s="171">
        <v>0.2339</v>
      </c>
      <c r="L40" s="171">
        <v>0.18329999999999999</v>
      </c>
      <c r="M40" s="171">
        <v>0.2021</v>
      </c>
      <c r="N40" s="171">
        <v>0.33019999999999999</v>
      </c>
      <c r="O40" s="171">
        <v>0.33329999999999999</v>
      </c>
      <c r="P40" s="171">
        <v>0.31469999999999998</v>
      </c>
      <c r="Q40" s="60"/>
    </row>
    <row r="41" spans="1:17" ht="15" customHeight="1" x14ac:dyDescent="0.35">
      <c r="A41" s="168">
        <v>1973</v>
      </c>
      <c r="B41" s="172">
        <v>1352.7</v>
      </c>
      <c r="C41" s="169">
        <v>0.24399999999999999</v>
      </c>
      <c r="D41" s="169">
        <v>0.21240000000000001</v>
      </c>
      <c r="E41" s="169">
        <v>0.20419999999999999</v>
      </c>
      <c r="F41" s="169">
        <v>0.21629999999999999</v>
      </c>
      <c r="G41" s="169">
        <v>0.23119999999999999</v>
      </c>
      <c r="H41" s="169">
        <v>0.23119999999999999</v>
      </c>
      <c r="I41" s="169">
        <v>0.2311</v>
      </c>
      <c r="J41" s="170">
        <v>0.15939999999999999</v>
      </c>
      <c r="K41" s="171">
        <v>0.24399999999999999</v>
      </c>
      <c r="L41" s="171">
        <v>0.19400000000000001</v>
      </c>
      <c r="M41" s="171">
        <v>0.21390000000000001</v>
      </c>
      <c r="N41" s="171">
        <v>0.35149999999999998</v>
      </c>
      <c r="O41" s="171">
        <v>0.3569</v>
      </c>
      <c r="P41" s="171">
        <v>0.32800000000000001</v>
      </c>
      <c r="Q41" s="60"/>
    </row>
    <row r="42" spans="1:17" ht="15" customHeight="1" x14ac:dyDescent="0.35">
      <c r="A42" s="168">
        <v>1974</v>
      </c>
      <c r="B42" s="172">
        <v>1482.9</v>
      </c>
      <c r="C42" s="169">
        <v>0.26140000000000002</v>
      </c>
      <c r="D42" s="169">
        <v>0.23019999999999999</v>
      </c>
      <c r="E42" s="169">
        <v>0.21809999999999999</v>
      </c>
      <c r="F42" s="169">
        <v>0.23569999999999999</v>
      </c>
      <c r="G42" s="169">
        <v>0.24990000000000001</v>
      </c>
      <c r="H42" s="169">
        <v>0.24990000000000001</v>
      </c>
      <c r="I42" s="169">
        <v>0.24979999999999999</v>
      </c>
      <c r="J42" s="170">
        <v>0.1744</v>
      </c>
      <c r="K42" s="171">
        <v>0.26140000000000002</v>
      </c>
      <c r="L42" s="171">
        <v>0.20580000000000001</v>
      </c>
      <c r="M42" s="171">
        <v>0.2261</v>
      </c>
      <c r="N42" s="171">
        <v>0.3725</v>
      </c>
      <c r="O42" s="171">
        <v>0.37709999999999999</v>
      </c>
      <c r="P42" s="171">
        <v>0.3533</v>
      </c>
      <c r="Q42" s="60"/>
    </row>
    <row r="43" spans="1:17" ht="15" customHeight="1" x14ac:dyDescent="0.35">
      <c r="A43" s="168">
        <v>1975</v>
      </c>
      <c r="B43" s="172">
        <v>1606.9</v>
      </c>
      <c r="C43" s="169">
        <v>0.28839999999999999</v>
      </c>
      <c r="D43" s="169">
        <v>0.25259999999999999</v>
      </c>
      <c r="E43" s="169">
        <v>0.23749999999999999</v>
      </c>
      <c r="F43" s="169">
        <v>0.25840000000000002</v>
      </c>
      <c r="G43" s="169">
        <v>0.2757</v>
      </c>
      <c r="H43" s="169">
        <v>0.2757</v>
      </c>
      <c r="I43" s="169">
        <v>0.27560000000000001</v>
      </c>
      <c r="J43" s="170">
        <v>0.19339999999999999</v>
      </c>
      <c r="K43" s="171">
        <v>0.28839999999999999</v>
      </c>
      <c r="L43" s="171">
        <v>0.2213</v>
      </c>
      <c r="M43" s="171">
        <v>0.2412</v>
      </c>
      <c r="N43" s="171">
        <v>0.40489999999999998</v>
      </c>
      <c r="O43" s="171">
        <v>0.4083</v>
      </c>
      <c r="P43" s="171">
        <v>0.39240000000000003</v>
      </c>
      <c r="Q43" s="60"/>
    </row>
    <row r="44" spans="1:17" ht="15" customHeight="1" x14ac:dyDescent="0.35">
      <c r="A44" s="168">
        <v>1976</v>
      </c>
      <c r="B44" s="172">
        <v>1786.1</v>
      </c>
      <c r="C44" s="169">
        <v>0.3085</v>
      </c>
      <c r="D44" s="169">
        <v>0.27060000000000001</v>
      </c>
      <c r="E44" s="169">
        <v>0.2525</v>
      </c>
      <c r="F44" s="169">
        <v>0.27689999999999998</v>
      </c>
      <c r="G44" s="169">
        <v>0.29360000000000003</v>
      </c>
      <c r="H44" s="169">
        <v>0.29360000000000003</v>
      </c>
      <c r="I44" s="169">
        <v>0.29349999999999998</v>
      </c>
      <c r="J44" s="170">
        <v>0.20860000000000001</v>
      </c>
      <c r="K44" s="171">
        <v>0.3085</v>
      </c>
      <c r="L44" s="171">
        <v>0.2397</v>
      </c>
      <c r="M44" s="171">
        <v>0.26250000000000001</v>
      </c>
      <c r="N44" s="171">
        <v>0.43020000000000003</v>
      </c>
      <c r="O44" s="171">
        <v>0.43419999999999997</v>
      </c>
      <c r="P44" s="171">
        <v>0.41620000000000001</v>
      </c>
      <c r="Q44" s="60"/>
    </row>
    <row r="45" spans="1:17" ht="15" customHeight="1" x14ac:dyDescent="0.35">
      <c r="A45" s="168" t="s">
        <v>849</v>
      </c>
      <c r="B45" s="169">
        <v>471.7</v>
      </c>
      <c r="C45" s="169">
        <v>0.31769999999999998</v>
      </c>
      <c r="D45" s="169">
        <v>0.27739999999999998</v>
      </c>
      <c r="E45" s="169">
        <v>0.25740000000000002</v>
      </c>
      <c r="F45" s="169">
        <v>0.28410000000000002</v>
      </c>
      <c r="G45" s="169">
        <v>0.30280000000000001</v>
      </c>
      <c r="H45" s="169">
        <v>0.30280000000000001</v>
      </c>
      <c r="I45" s="169">
        <v>0.30270000000000002</v>
      </c>
      <c r="J45" s="170">
        <v>0.21629999999999999</v>
      </c>
      <c r="K45" s="171">
        <v>0.31769999999999998</v>
      </c>
      <c r="L45" s="171">
        <v>0.24690000000000001</v>
      </c>
      <c r="M45" s="171">
        <v>0.26819999999999999</v>
      </c>
      <c r="N45" s="171">
        <v>0.44419999999999998</v>
      </c>
      <c r="O45" s="171">
        <v>0.44969999999999999</v>
      </c>
      <c r="P45" s="171">
        <v>0.4274</v>
      </c>
      <c r="Q45" s="60"/>
    </row>
    <row r="46" spans="1:17" ht="15" customHeight="1" x14ac:dyDescent="0.35">
      <c r="A46" s="168">
        <v>1977</v>
      </c>
      <c r="B46" s="172">
        <v>2024.3</v>
      </c>
      <c r="C46" s="169">
        <v>0.33079999999999998</v>
      </c>
      <c r="D46" s="169">
        <v>0.29039999999999999</v>
      </c>
      <c r="E46" s="169">
        <v>0.27250000000000002</v>
      </c>
      <c r="F46" s="169">
        <v>0.2964</v>
      </c>
      <c r="G46" s="169">
        <v>0.31569999999999998</v>
      </c>
      <c r="H46" s="169">
        <v>0.31580000000000003</v>
      </c>
      <c r="I46" s="169">
        <v>0.31559999999999999</v>
      </c>
      <c r="J46" s="170">
        <v>0.22370000000000001</v>
      </c>
      <c r="K46" s="171">
        <v>0.33079999999999998</v>
      </c>
      <c r="L46" s="171">
        <v>0.25840000000000002</v>
      </c>
      <c r="M46" s="171">
        <v>0.28199999999999997</v>
      </c>
      <c r="N46" s="171">
        <v>0.4632</v>
      </c>
      <c r="O46" s="171">
        <v>0.46960000000000002</v>
      </c>
      <c r="P46" s="171">
        <v>0.44090000000000001</v>
      </c>
      <c r="Q46" s="60"/>
    </row>
    <row r="47" spans="1:17" ht="15" customHeight="1" x14ac:dyDescent="0.35">
      <c r="A47" s="168">
        <v>1978</v>
      </c>
      <c r="B47" s="172">
        <v>2273.5</v>
      </c>
      <c r="C47" s="169">
        <v>0.35310000000000002</v>
      </c>
      <c r="D47" s="169">
        <v>0.3085</v>
      </c>
      <c r="E47" s="169">
        <v>0.29099999999999998</v>
      </c>
      <c r="F47" s="169">
        <v>0.31409999999999999</v>
      </c>
      <c r="G47" s="169">
        <v>0.33689999999999998</v>
      </c>
      <c r="H47" s="169">
        <v>0.33700000000000002</v>
      </c>
      <c r="I47" s="169">
        <v>0.33679999999999999</v>
      </c>
      <c r="J47" s="170">
        <v>0.2379</v>
      </c>
      <c r="K47" s="171">
        <v>0.35310000000000002</v>
      </c>
      <c r="L47" s="171">
        <v>0.27479999999999999</v>
      </c>
      <c r="M47" s="171">
        <v>0.29770000000000002</v>
      </c>
      <c r="N47" s="171">
        <v>0.49180000000000001</v>
      </c>
      <c r="O47" s="171">
        <v>0.50070000000000003</v>
      </c>
      <c r="P47" s="171">
        <v>0.46339999999999998</v>
      </c>
      <c r="Q47" s="60"/>
    </row>
    <row r="48" spans="1:17" ht="15" customHeight="1" x14ac:dyDescent="0.35">
      <c r="A48" s="168">
        <v>1979</v>
      </c>
      <c r="B48" s="172">
        <v>2565.6</v>
      </c>
      <c r="C48" s="169">
        <v>0.38159999999999999</v>
      </c>
      <c r="D48" s="169">
        <v>0.33539999999999998</v>
      </c>
      <c r="E48" s="169">
        <v>0.31480000000000002</v>
      </c>
      <c r="F48" s="169">
        <v>0.34200000000000003</v>
      </c>
      <c r="G48" s="169">
        <v>0.36480000000000001</v>
      </c>
      <c r="H48" s="169">
        <v>0.3649</v>
      </c>
      <c r="I48" s="169">
        <v>0.36470000000000002</v>
      </c>
      <c r="J48" s="170">
        <v>0.25969999999999999</v>
      </c>
      <c r="K48" s="171">
        <v>0.38159999999999999</v>
      </c>
      <c r="L48" s="171">
        <v>0.29249999999999998</v>
      </c>
      <c r="M48" s="171">
        <v>0.3211</v>
      </c>
      <c r="N48" s="171">
        <v>0.52569999999999995</v>
      </c>
      <c r="O48" s="171">
        <v>0.53500000000000003</v>
      </c>
      <c r="P48" s="171">
        <v>0.49440000000000001</v>
      </c>
      <c r="Q48" s="60"/>
    </row>
    <row r="49" spans="1:17" ht="15" customHeight="1" x14ac:dyDescent="0.35">
      <c r="A49" s="168">
        <v>1980</v>
      </c>
      <c r="B49" s="172">
        <v>2791.9</v>
      </c>
      <c r="C49" s="169">
        <v>0.41489999999999999</v>
      </c>
      <c r="D49" s="169">
        <v>0.37080000000000002</v>
      </c>
      <c r="E49" s="169">
        <v>0.34849999999999998</v>
      </c>
      <c r="F49" s="169">
        <v>0.37790000000000001</v>
      </c>
      <c r="G49" s="169">
        <v>0.40339999999999998</v>
      </c>
      <c r="H49" s="169">
        <v>0.40350000000000003</v>
      </c>
      <c r="I49" s="169">
        <v>0.40329999999999999</v>
      </c>
      <c r="J49" s="170">
        <v>0.28889999999999999</v>
      </c>
      <c r="K49" s="171">
        <v>0.41489999999999999</v>
      </c>
      <c r="L49" s="171">
        <v>0.3175</v>
      </c>
      <c r="M49" s="171">
        <v>0.34460000000000002</v>
      </c>
      <c r="N49" s="171">
        <v>0.56520000000000004</v>
      </c>
      <c r="O49" s="171">
        <v>0.57210000000000005</v>
      </c>
      <c r="P49" s="171">
        <v>0.53920000000000001</v>
      </c>
      <c r="Q49" s="60"/>
    </row>
    <row r="50" spans="1:17" ht="15" customHeight="1" x14ac:dyDescent="0.35">
      <c r="A50" s="168">
        <v>1981</v>
      </c>
      <c r="B50" s="172">
        <v>3133.2</v>
      </c>
      <c r="C50" s="169">
        <v>0.4556</v>
      </c>
      <c r="D50" s="169">
        <v>0.4118</v>
      </c>
      <c r="E50" s="169">
        <v>0.38650000000000001</v>
      </c>
      <c r="F50" s="169">
        <v>0.42009999999999997</v>
      </c>
      <c r="G50" s="169">
        <v>0.44269999999999998</v>
      </c>
      <c r="H50" s="169">
        <v>0.44269999999999998</v>
      </c>
      <c r="I50" s="169">
        <v>0.4425</v>
      </c>
      <c r="J50" s="170">
        <v>0.32300000000000001</v>
      </c>
      <c r="K50" s="171">
        <v>0.4556</v>
      </c>
      <c r="L50" s="171">
        <v>0.3463</v>
      </c>
      <c r="M50" s="171">
        <v>0.3755</v>
      </c>
      <c r="N50" s="171">
        <v>0.61550000000000005</v>
      </c>
      <c r="O50" s="171">
        <v>0.62229999999999996</v>
      </c>
      <c r="P50" s="171">
        <v>0.58709999999999996</v>
      </c>
      <c r="Q50" s="60"/>
    </row>
    <row r="51" spans="1:17" ht="15" customHeight="1" x14ac:dyDescent="0.35">
      <c r="A51" s="168">
        <v>1982</v>
      </c>
      <c r="B51" s="172">
        <v>3313.4</v>
      </c>
      <c r="C51" s="169">
        <v>0.48720000000000002</v>
      </c>
      <c r="D51" s="169">
        <v>0.44340000000000002</v>
      </c>
      <c r="E51" s="169">
        <v>0.42099999999999999</v>
      </c>
      <c r="F51" s="169">
        <v>0.45140000000000002</v>
      </c>
      <c r="G51" s="169">
        <v>0.47010000000000002</v>
      </c>
      <c r="H51" s="169">
        <v>0.47010000000000002</v>
      </c>
      <c r="I51" s="169">
        <v>0.46989999999999998</v>
      </c>
      <c r="J51" s="170">
        <v>0.35210000000000002</v>
      </c>
      <c r="K51" s="171">
        <v>0.48720000000000002</v>
      </c>
      <c r="L51" s="171">
        <v>0.36399999999999999</v>
      </c>
      <c r="M51" s="171">
        <v>0.39439999999999997</v>
      </c>
      <c r="N51" s="171">
        <v>0.66369999999999996</v>
      </c>
      <c r="O51" s="171">
        <v>0.67030000000000001</v>
      </c>
      <c r="P51" s="171">
        <v>0.62919999999999998</v>
      </c>
      <c r="Q51" s="60"/>
    </row>
    <row r="52" spans="1:17" ht="15" customHeight="1" x14ac:dyDescent="0.35">
      <c r="A52" s="168">
        <v>1983</v>
      </c>
      <c r="B52" s="172">
        <v>3536</v>
      </c>
      <c r="C52" s="169">
        <v>0.50849999999999995</v>
      </c>
      <c r="D52" s="169">
        <v>0.4652</v>
      </c>
      <c r="E52" s="169">
        <v>0.44169999999999998</v>
      </c>
      <c r="F52" s="169">
        <v>0.47399999999999998</v>
      </c>
      <c r="G52" s="169">
        <v>0.49159999999999998</v>
      </c>
      <c r="H52" s="169">
        <v>0.49159999999999998</v>
      </c>
      <c r="I52" s="169">
        <v>0.4914</v>
      </c>
      <c r="J52" s="170">
        <v>0.37019999999999997</v>
      </c>
      <c r="K52" s="171">
        <v>0.50849999999999995</v>
      </c>
      <c r="L52" s="171">
        <v>0.376</v>
      </c>
      <c r="M52" s="171">
        <v>0.40560000000000002</v>
      </c>
      <c r="N52" s="171">
        <v>0.70279999999999998</v>
      </c>
      <c r="O52" s="171">
        <v>0.71060000000000001</v>
      </c>
      <c r="P52" s="171">
        <v>0.65100000000000002</v>
      </c>
      <c r="Q52" s="60"/>
    </row>
    <row r="53" spans="1:17" ht="15" customHeight="1" x14ac:dyDescent="0.35">
      <c r="A53" s="168">
        <v>1984</v>
      </c>
      <c r="B53" s="172">
        <v>3949.2</v>
      </c>
      <c r="C53" s="169">
        <v>0.52669999999999995</v>
      </c>
      <c r="D53" s="169">
        <v>0.48749999999999999</v>
      </c>
      <c r="E53" s="169">
        <v>0.46450000000000002</v>
      </c>
      <c r="F53" s="169">
        <v>0.4965</v>
      </c>
      <c r="G53" s="169">
        <v>0.51049999999999995</v>
      </c>
      <c r="H53" s="169">
        <v>0.51049999999999995</v>
      </c>
      <c r="I53" s="169">
        <v>0.51029999999999998</v>
      </c>
      <c r="J53" s="170">
        <v>0.3896</v>
      </c>
      <c r="K53" s="171">
        <v>0.52669999999999995</v>
      </c>
      <c r="L53" s="171">
        <v>0.3861</v>
      </c>
      <c r="M53" s="171">
        <v>0.4284</v>
      </c>
      <c r="N53" s="171">
        <v>0.73140000000000005</v>
      </c>
      <c r="O53" s="171">
        <v>0.74150000000000005</v>
      </c>
      <c r="P53" s="171">
        <v>0.66890000000000005</v>
      </c>
      <c r="Q53" s="60"/>
    </row>
    <row r="54" spans="1:17" ht="15" customHeight="1" x14ac:dyDescent="0.35">
      <c r="A54" s="168">
        <v>1985</v>
      </c>
      <c r="B54" s="172">
        <v>4265.1000000000004</v>
      </c>
      <c r="C54" s="169">
        <v>0.54430000000000001</v>
      </c>
      <c r="D54" s="169">
        <v>0.50539999999999996</v>
      </c>
      <c r="E54" s="169">
        <v>0.48259999999999997</v>
      </c>
      <c r="F54" s="169">
        <v>0.51429999999999998</v>
      </c>
      <c r="G54" s="169">
        <v>0.52839999999999998</v>
      </c>
      <c r="H54" s="169">
        <v>0.52839999999999998</v>
      </c>
      <c r="I54" s="169">
        <v>0.52810000000000001</v>
      </c>
      <c r="J54" s="170">
        <v>0.40600000000000003</v>
      </c>
      <c r="K54" s="171">
        <v>0.54430000000000001</v>
      </c>
      <c r="L54" s="171">
        <v>0.40260000000000001</v>
      </c>
      <c r="M54" s="171">
        <v>0.44669999999999999</v>
      </c>
      <c r="N54" s="171">
        <v>0.73819999999999997</v>
      </c>
      <c r="O54" s="171">
        <v>0.74739999999999995</v>
      </c>
      <c r="P54" s="171">
        <v>0.68379999999999996</v>
      </c>
      <c r="Q54" s="60"/>
    </row>
    <row r="55" spans="1:17" ht="15" customHeight="1" x14ac:dyDescent="0.35">
      <c r="A55" s="168">
        <v>1986</v>
      </c>
      <c r="B55" s="172">
        <v>4526.3</v>
      </c>
      <c r="C55" s="169">
        <v>0.55659999999999998</v>
      </c>
      <c r="D55" s="169">
        <v>0.5161</v>
      </c>
      <c r="E55" s="169">
        <v>0.49349999999999999</v>
      </c>
      <c r="F55" s="169">
        <v>0.5252</v>
      </c>
      <c r="G55" s="169">
        <v>0.54220000000000002</v>
      </c>
      <c r="H55" s="169">
        <v>0.54220000000000002</v>
      </c>
      <c r="I55" s="169">
        <v>0.54190000000000005</v>
      </c>
      <c r="J55" s="170">
        <v>0.42059999999999997</v>
      </c>
      <c r="K55" s="171">
        <v>0.55659999999999998</v>
      </c>
      <c r="L55" s="171">
        <v>0.40749999999999997</v>
      </c>
      <c r="M55" s="171">
        <v>0.44669999999999999</v>
      </c>
      <c r="N55" s="171">
        <v>0.73299999999999998</v>
      </c>
      <c r="O55" s="171">
        <v>0.7389</v>
      </c>
      <c r="P55" s="171">
        <v>0.69210000000000005</v>
      </c>
      <c r="Q55" s="60"/>
    </row>
    <row r="56" spans="1:17" ht="15" customHeight="1" x14ac:dyDescent="0.35">
      <c r="A56" s="168">
        <v>1987</v>
      </c>
      <c r="B56" s="172">
        <v>4767.7</v>
      </c>
      <c r="C56" s="169">
        <v>0.56899999999999995</v>
      </c>
      <c r="D56" s="169">
        <v>0.53080000000000005</v>
      </c>
      <c r="E56" s="169">
        <v>0.50070000000000003</v>
      </c>
      <c r="F56" s="169">
        <v>0.54359999999999997</v>
      </c>
      <c r="G56" s="169">
        <v>0.55600000000000005</v>
      </c>
      <c r="H56" s="169">
        <v>0.55610000000000004</v>
      </c>
      <c r="I56" s="169">
        <v>0.55579999999999996</v>
      </c>
      <c r="J56" s="170">
        <v>0.44209999999999999</v>
      </c>
      <c r="K56" s="171">
        <v>0.56899999999999995</v>
      </c>
      <c r="L56" s="171">
        <v>0.40910000000000002</v>
      </c>
      <c r="M56" s="171">
        <v>0.45619999999999999</v>
      </c>
      <c r="N56" s="171">
        <v>0.7258</v>
      </c>
      <c r="O56" s="171">
        <v>0.72950000000000004</v>
      </c>
      <c r="P56" s="171">
        <v>0.7016</v>
      </c>
      <c r="Q56" s="60"/>
    </row>
    <row r="57" spans="1:17" ht="15" customHeight="1" x14ac:dyDescent="0.35">
      <c r="A57" s="168">
        <v>1988</v>
      </c>
      <c r="B57" s="172">
        <v>5138.6000000000004</v>
      </c>
      <c r="C57" s="169">
        <v>0.58740000000000003</v>
      </c>
      <c r="D57" s="169">
        <v>0.54910000000000003</v>
      </c>
      <c r="E57" s="169">
        <v>0.51329999999999998</v>
      </c>
      <c r="F57" s="169">
        <v>0.56379999999999997</v>
      </c>
      <c r="G57" s="169">
        <v>0.57709999999999995</v>
      </c>
      <c r="H57" s="169">
        <v>0.57720000000000005</v>
      </c>
      <c r="I57" s="169">
        <v>0.57669999999999999</v>
      </c>
      <c r="J57" s="170">
        <v>0.45900000000000002</v>
      </c>
      <c r="K57" s="171">
        <v>0.58740000000000003</v>
      </c>
      <c r="L57" s="171">
        <v>0.42199999999999999</v>
      </c>
      <c r="M57" s="171">
        <v>0.47399999999999998</v>
      </c>
      <c r="N57" s="171">
        <v>0.72719999999999996</v>
      </c>
      <c r="O57" s="171">
        <v>0.72819999999999996</v>
      </c>
      <c r="P57" s="171">
        <v>0.72160000000000002</v>
      </c>
      <c r="Q57" s="60"/>
    </row>
    <row r="58" spans="1:17" ht="15" customHeight="1" x14ac:dyDescent="0.35">
      <c r="A58" s="168">
        <v>1989</v>
      </c>
      <c r="B58" s="172">
        <v>5554.7</v>
      </c>
      <c r="C58" s="169">
        <v>0.61119999999999997</v>
      </c>
      <c r="D58" s="169">
        <v>0.57089999999999996</v>
      </c>
      <c r="E58" s="169">
        <v>0.53310000000000002</v>
      </c>
      <c r="F58" s="169">
        <v>0.58589999999999998</v>
      </c>
      <c r="G58" s="169">
        <v>0.6028</v>
      </c>
      <c r="H58" s="169">
        <v>0.60289999999999999</v>
      </c>
      <c r="I58" s="169">
        <v>0.60189999999999999</v>
      </c>
      <c r="J58" s="170">
        <v>0.47820000000000001</v>
      </c>
      <c r="K58" s="171">
        <v>0.61119999999999997</v>
      </c>
      <c r="L58" s="171">
        <v>0.43280000000000002</v>
      </c>
      <c r="M58" s="171">
        <v>0.48209999999999997</v>
      </c>
      <c r="N58" s="171">
        <v>0.74370000000000003</v>
      </c>
      <c r="O58" s="171">
        <v>0.74339999999999995</v>
      </c>
      <c r="P58" s="171">
        <v>0.74550000000000005</v>
      </c>
      <c r="Q58" s="60"/>
    </row>
    <row r="59" spans="1:17" ht="15" customHeight="1" x14ac:dyDescent="0.35">
      <c r="A59" s="168">
        <v>1990</v>
      </c>
      <c r="B59" s="172">
        <v>5898.8</v>
      </c>
      <c r="C59" s="169">
        <v>0.63360000000000005</v>
      </c>
      <c r="D59" s="169">
        <v>0.58740000000000003</v>
      </c>
      <c r="E59" s="169">
        <v>0.55149999999999999</v>
      </c>
      <c r="F59" s="169">
        <v>0.59970000000000001</v>
      </c>
      <c r="G59" s="169">
        <v>0.62729999999999997</v>
      </c>
      <c r="H59" s="169">
        <v>0.62749999999999995</v>
      </c>
      <c r="I59" s="169">
        <v>0.62609999999999999</v>
      </c>
      <c r="J59" s="170">
        <v>0.50139999999999996</v>
      </c>
      <c r="K59" s="171">
        <v>0.63360000000000005</v>
      </c>
      <c r="L59" s="171">
        <v>0.44450000000000001</v>
      </c>
      <c r="M59" s="171">
        <v>0.48359999999999997</v>
      </c>
      <c r="N59" s="171">
        <v>0.75700000000000001</v>
      </c>
      <c r="O59" s="171">
        <v>0.75570000000000004</v>
      </c>
      <c r="P59" s="171">
        <v>0.76459999999999995</v>
      </c>
      <c r="Q59" s="60"/>
    </row>
    <row r="60" spans="1:17" ht="15" customHeight="1" x14ac:dyDescent="0.35">
      <c r="A60" s="168">
        <v>1991</v>
      </c>
      <c r="B60" s="172">
        <v>6093.2</v>
      </c>
      <c r="C60" s="169">
        <v>0.65620000000000001</v>
      </c>
      <c r="D60" s="169">
        <v>0.61370000000000002</v>
      </c>
      <c r="E60" s="169">
        <v>0.57869999999999999</v>
      </c>
      <c r="F60" s="169">
        <v>0.62350000000000005</v>
      </c>
      <c r="G60" s="169">
        <v>0.65229999999999999</v>
      </c>
      <c r="H60" s="169">
        <v>0.65249999999999997</v>
      </c>
      <c r="I60" s="169">
        <v>0.65080000000000005</v>
      </c>
      <c r="J60" s="170">
        <v>0.52249999999999996</v>
      </c>
      <c r="K60" s="171">
        <v>0.65620000000000001</v>
      </c>
      <c r="L60" s="171">
        <v>0.47120000000000001</v>
      </c>
      <c r="M60" s="171">
        <v>0.50870000000000004</v>
      </c>
      <c r="N60" s="171">
        <v>0.77490000000000003</v>
      </c>
      <c r="O60" s="171">
        <v>0.7732</v>
      </c>
      <c r="P60" s="171">
        <v>0.78420000000000001</v>
      </c>
      <c r="Q60" s="60"/>
    </row>
    <row r="61" spans="1:17" ht="15" customHeight="1" x14ac:dyDescent="0.35">
      <c r="A61" s="168">
        <v>1992</v>
      </c>
      <c r="B61" s="172">
        <v>6416.3</v>
      </c>
      <c r="C61" s="169">
        <v>0.67259999999999998</v>
      </c>
      <c r="D61" s="169">
        <v>0.63849999999999996</v>
      </c>
      <c r="E61" s="169">
        <v>0.58789999999999998</v>
      </c>
      <c r="F61" s="169">
        <v>0.65400000000000003</v>
      </c>
      <c r="G61" s="169">
        <v>0.66930000000000001</v>
      </c>
      <c r="H61" s="169">
        <v>0.66959999999999997</v>
      </c>
      <c r="I61" s="169">
        <v>0.66749999999999998</v>
      </c>
      <c r="J61" s="170">
        <v>0.53779999999999994</v>
      </c>
      <c r="K61" s="171">
        <v>0.67259999999999998</v>
      </c>
      <c r="L61" s="171">
        <v>0.48799999999999999</v>
      </c>
      <c r="M61" s="171">
        <v>0.55349999999999999</v>
      </c>
      <c r="N61" s="171">
        <v>0.78680000000000005</v>
      </c>
      <c r="O61" s="171">
        <v>0.78590000000000004</v>
      </c>
      <c r="P61" s="171">
        <v>0.79069999999999996</v>
      </c>
      <c r="Q61" s="60"/>
    </row>
    <row r="62" spans="1:17" ht="15" customHeight="1" x14ac:dyDescent="0.35">
      <c r="A62" s="168">
        <v>1993</v>
      </c>
      <c r="B62" s="172">
        <v>6775.3</v>
      </c>
      <c r="C62" s="169">
        <v>0.68840000000000001</v>
      </c>
      <c r="D62" s="169">
        <v>0.65739999999999998</v>
      </c>
      <c r="E62" s="169">
        <v>0.59379999999999999</v>
      </c>
      <c r="F62" s="169">
        <v>0.67620000000000002</v>
      </c>
      <c r="G62" s="169">
        <v>0.6865</v>
      </c>
      <c r="H62" s="169">
        <v>0.68700000000000006</v>
      </c>
      <c r="I62" s="169">
        <v>0.68430000000000002</v>
      </c>
      <c r="J62" s="170">
        <v>0.55459999999999998</v>
      </c>
      <c r="K62" s="171">
        <v>0.68840000000000001</v>
      </c>
      <c r="L62" s="171">
        <v>0.51339999999999997</v>
      </c>
      <c r="M62" s="171">
        <v>0.59619999999999995</v>
      </c>
      <c r="N62" s="171">
        <v>0.80569999999999997</v>
      </c>
      <c r="O62" s="171">
        <v>0.80630000000000002</v>
      </c>
      <c r="P62" s="171">
        <v>0.80349999999999999</v>
      </c>
      <c r="Q62" s="60"/>
    </row>
    <row r="63" spans="1:17" ht="15" customHeight="1" x14ac:dyDescent="0.35">
      <c r="A63" s="168">
        <v>1994</v>
      </c>
      <c r="B63" s="172">
        <v>7176.9</v>
      </c>
      <c r="C63" s="169">
        <v>0.70340000000000003</v>
      </c>
      <c r="D63" s="169">
        <v>0.66900000000000004</v>
      </c>
      <c r="E63" s="169">
        <v>0.59940000000000004</v>
      </c>
      <c r="F63" s="169">
        <v>0.68810000000000004</v>
      </c>
      <c r="G63" s="169">
        <v>0.70089999999999997</v>
      </c>
      <c r="H63" s="169">
        <v>0.70150000000000001</v>
      </c>
      <c r="I63" s="169">
        <v>0.69789999999999996</v>
      </c>
      <c r="J63" s="170">
        <v>0.56889999999999996</v>
      </c>
      <c r="K63" s="171">
        <v>0.70340000000000003</v>
      </c>
      <c r="L63" s="171">
        <v>0.53659999999999997</v>
      </c>
      <c r="M63" s="171">
        <v>0.6028</v>
      </c>
      <c r="N63" s="171">
        <v>0.82499999999999996</v>
      </c>
      <c r="O63" s="171">
        <v>0.82699999999999996</v>
      </c>
      <c r="P63" s="171">
        <v>0.81740000000000002</v>
      </c>
      <c r="Q63" s="60"/>
    </row>
    <row r="64" spans="1:17" ht="15" customHeight="1" x14ac:dyDescent="0.35">
      <c r="A64" s="168">
        <v>1995</v>
      </c>
      <c r="B64" s="172">
        <v>7560.4</v>
      </c>
      <c r="C64" s="169">
        <v>0.71830000000000005</v>
      </c>
      <c r="D64" s="169">
        <v>0.68889999999999996</v>
      </c>
      <c r="E64" s="169">
        <v>0.61099999999999999</v>
      </c>
      <c r="F64" s="169">
        <v>0.7087</v>
      </c>
      <c r="G64" s="169">
        <v>0.71609999999999996</v>
      </c>
      <c r="H64" s="169">
        <v>0.7167</v>
      </c>
      <c r="I64" s="169">
        <v>0.71299999999999997</v>
      </c>
      <c r="J64" s="170">
        <v>0.58840000000000003</v>
      </c>
      <c r="K64" s="171">
        <v>0.71830000000000005</v>
      </c>
      <c r="L64" s="171">
        <v>0.55359999999999998</v>
      </c>
      <c r="M64" s="171">
        <v>0.6431</v>
      </c>
      <c r="N64" s="171">
        <v>0.84599999999999997</v>
      </c>
      <c r="O64" s="171">
        <v>0.84789999999999999</v>
      </c>
      <c r="P64" s="171">
        <v>0.84040000000000004</v>
      </c>
      <c r="Q64" s="60"/>
    </row>
    <row r="65" spans="1:17" ht="15" customHeight="1" x14ac:dyDescent="0.35">
      <c r="A65" s="168">
        <v>1996</v>
      </c>
      <c r="B65" s="172">
        <v>7951.3</v>
      </c>
      <c r="C65" s="169">
        <v>0.73180000000000001</v>
      </c>
      <c r="D65" s="169">
        <v>0.70340000000000003</v>
      </c>
      <c r="E65" s="169">
        <v>0.62429999999999997</v>
      </c>
      <c r="F65" s="169">
        <v>0.72209999999999996</v>
      </c>
      <c r="G65" s="169">
        <v>0.73060000000000003</v>
      </c>
      <c r="H65" s="169">
        <v>0.73119999999999996</v>
      </c>
      <c r="I65" s="169">
        <v>0.72740000000000005</v>
      </c>
      <c r="J65" s="170">
        <v>0.60560000000000003</v>
      </c>
      <c r="K65" s="171">
        <v>0.73180000000000001</v>
      </c>
      <c r="L65" s="171">
        <v>0.57989999999999997</v>
      </c>
      <c r="M65" s="171">
        <v>0.66239999999999999</v>
      </c>
      <c r="N65" s="171">
        <v>0.85670000000000002</v>
      </c>
      <c r="O65" s="171">
        <v>0.86029999999999995</v>
      </c>
      <c r="P65" s="171">
        <v>0.84719999999999995</v>
      </c>
      <c r="Q65" s="60"/>
    </row>
    <row r="66" spans="1:17" ht="15" customHeight="1" x14ac:dyDescent="0.35">
      <c r="A66" s="168">
        <v>1997</v>
      </c>
      <c r="B66" s="172">
        <v>8451</v>
      </c>
      <c r="C66" s="169">
        <v>0.74480000000000002</v>
      </c>
      <c r="D66" s="169">
        <v>0.71809999999999996</v>
      </c>
      <c r="E66" s="169">
        <v>0.63390000000000002</v>
      </c>
      <c r="F66" s="169">
        <v>0.73799999999999999</v>
      </c>
      <c r="G66" s="169">
        <v>0.74529999999999996</v>
      </c>
      <c r="H66" s="169">
        <v>0.74590000000000001</v>
      </c>
      <c r="I66" s="169">
        <v>0.74209999999999998</v>
      </c>
      <c r="J66" s="170">
        <v>0.61739999999999995</v>
      </c>
      <c r="K66" s="171">
        <v>0.74480000000000002</v>
      </c>
      <c r="L66" s="171">
        <v>0.59419999999999995</v>
      </c>
      <c r="M66" s="171">
        <v>0.67720000000000002</v>
      </c>
      <c r="N66" s="171">
        <v>0.85499999999999998</v>
      </c>
      <c r="O66" s="171">
        <v>0.85719999999999996</v>
      </c>
      <c r="P66" s="171">
        <v>0.84919999999999995</v>
      </c>
      <c r="Q66" s="60"/>
    </row>
    <row r="67" spans="1:17" ht="15" customHeight="1" x14ac:dyDescent="0.35">
      <c r="A67" s="168">
        <v>1998</v>
      </c>
      <c r="B67" s="172">
        <v>8930.7999999999993</v>
      </c>
      <c r="C67" s="169">
        <v>0.75409999999999999</v>
      </c>
      <c r="D67" s="169">
        <v>0.72409999999999997</v>
      </c>
      <c r="E67" s="169">
        <v>0.64600000000000002</v>
      </c>
      <c r="F67" s="169">
        <v>0.74150000000000005</v>
      </c>
      <c r="G67" s="169">
        <v>0.75229999999999997</v>
      </c>
      <c r="H67" s="169">
        <v>0.75280000000000002</v>
      </c>
      <c r="I67" s="169">
        <v>0.75</v>
      </c>
      <c r="J67" s="170">
        <v>0.62509999999999999</v>
      </c>
      <c r="K67" s="171">
        <v>0.75409999999999999</v>
      </c>
      <c r="L67" s="171">
        <v>0.60650000000000004</v>
      </c>
      <c r="M67" s="171">
        <v>0.66310000000000002</v>
      </c>
      <c r="N67" s="171">
        <v>0.85570000000000002</v>
      </c>
      <c r="O67" s="171">
        <v>0.85719999999999996</v>
      </c>
      <c r="P67" s="171">
        <v>0.85050000000000003</v>
      </c>
      <c r="Q67" s="60"/>
    </row>
    <row r="68" spans="1:17" ht="15" customHeight="1" x14ac:dyDescent="0.35">
      <c r="A68" s="168">
        <v>1999</v>
      </c>
      <c r="B68" s="172">
        <v>9479.6</v>
      </c>
      <c r="C68" s="169">
        <v>0.76349999999999996</v>
      </c>
      <c r="D68" s="169">
        <v>0.73280000000000001</v>
      </c>
      <c r="E68" s="169">
        <v>0.65880000000000005</v>
      </c>
      <c r="F68" s="169">
        <v>0.749</v>
      </c>
      <c r="G68" s="169">
        <v>0.76100000000000001</v>
      </c>
      <c r="H68" s="169">
        <v>0.76139999999999997</v>
      </c>
      <c r="I68" s="169">
        <v>0.75900000000000001</v>
      </c>
      <c r="J68" s="170">
        <v>0.64019999999999999</v>
      </c>
      <c r="K68" s="171">
        <v>0.76349999999999996</v>
      </c>
      <c r="L68" s="171">
        <v>0.62509999999999999</v>
      </c>
      <c r="M68" s="171">
        <v>0.68210000000000004</v>
      </c>
      <c r="N68" s="171">
        <v>0.86429999999999996</v>
      </c>
      <c r="O68" s="171">
        <v>0.86750000000000005</v>
      </c>
      <c r="P68" s="171">
        <v>0.85619999999999996</v>
      </c>
      <c r="Q68" s="60"/>
    </row>
    <row r="69" spans="1:17" ht="15" customHeight="1" x14ac:dyDescent="0.35">
      <c r="A69" s="168">
        <v>2000</v>
      </c>
      <c r="B69" s="172">
        <v>10117.1</v>
      </c>
      <c r="C69" s="169">
        <v>0.77939999999999998</v>
      </c>
      <c r="D69" s="169">
        <v>0.75160000000000005</v>
      </c>
      <c r="E69" s="169">
        <v>0.68200000000000005</v>
      </c>
      <c r="F69" s="169">
        <v>0.76700000000000002</v>
      </c>
      <c r="G69" s="169">
        <v>0.7792</v>
      </c>
      <c r="H69" s="169">
        <v>0.77969999999999995</v>
      </c>
      <c r="I69" s="169">
        <v>0.77690000000000003</v>
      </c>
      <c r="J69" s="170">
        <v>0.66439999999999999</v>
      </c>
      <c r="K69" s="171">
        <v>0.77939999999999998</v>
      </c>
      <c r="L69" s="171">
        <v>0.65749999999999997</v>
      </c>
      <c r="M69" s="171">
        <v>0.70820000000000005</v>
      </c>
      <c r="N69" s="171">
        <v>0.87649999999999995</v>
      </c>
      <c r="O69" s="171">
        <v>0.87819999999999998</v>
      </c>
      <c r="P69" s="171">
        <v>0.87280000000000002</v>
      </c>
      <c r="Q69" s="60"/>
    </row>
    <row r="70" spans="1:17" ht="15" customHeight="1" x14ac:dyDescent="0.35">
      <c r="A70" s="168">
        <v>2001</v>
      </c>
      <c r="B70" s="172">
        <v>10525.7</v>
      </c>
      <c r="C70" s="169">
        <v>0.79830000000000001</v>
      </c>
      <c r="D70" s="169">
        <v>0.77159999999999995</v>
      </c>
      <c r="E70" s="169">
        <v>0.70540000000000003</v>
      </c>
      <c r="F70" s="169">
        <v>0.78610000000000002</v>
      </c>
      <c r="G70" s="169">
        <v>0.79720000000000002</v>
      </c>
      <c r="H70" s="169">
        <v>0.79759999999999998</v>
      </c>
      <c r="I70" s="169">
        <v>0.79510000000000003</v>
      </c>
      <c r="J70" s="170">
        <v>0.68579999999999997</v>
      </c>
      <c r="K70" s="171">
        <v>0.79830000000000001</v>
      </c>
      <c r="L70" s="171">
        <v>0.67210000000000003</v>
      </c>
      <c r="M70" s="171">
        <v>0.73070000000000002</v>
      </c>
      <c r="N70" s="171">
        <v>0.88070000000000004</v>
      </c>
      <c r="O70" s="171">
        <v>0.88</v>
      </c>
      <c r="P70" s="171">
        <v>0.8821</v>
      </c>
      <c r="Q70" s="60"/>
    </row>
    <row r="71" spans="1:17" ht="15" customHeight="1" x14ac:dyDescent="0.35">
      <c r="A71" s="168">
        <v>2002</v>
      </c>
      <c r="B71" s="172">
        <v>10828.9</v>
      </c>
      <c r="C71" s="169">
        <v>0.81089999999999995</v>
      </c>
      <c r="D71" s="169">
        <v>0.78359999999999996</v>
      </c>
      <c r="E71" s="169">
        <v>0.72840000000000005</v>
      </c>
      <c r="F71" s="169">
        <v>0.79630000000000001</v>
      </c>
      <c r="G71" s="169">
        <v>0.80640000000000001</v>
      </c>
      <c r="H71" s="169">
        <v>0.80689999999999995</v>
      </c>
      <c r="I71" s="169">
        <v>0.80449999999999999</v>
      </c>
      <c r="J71" s="170">
        <v>0.69950000000000001</v>
      </c>
      <c r="K71" s="171">
        <v>0.81089999999999995</v>
      </c>
      <c r="L71" s="171">
        <v>0.71009999999999995</v>
      </c>
      <c r="M71" s="171">
        <v>0.75670000000000004</v>
      </c>
      <c r="N71" s="171">
        <v>0.87619999999999998</v>
      </c>
      <c r="O71" s="171">
        <v>0.87390000000000001</v>
      </c>
      <c r="P71" s="171">
        <v>0.88139999999999996</v>
      </c>
      <c r="Q71" s="60"/>
    </row>
    <row r="72" spans="1:17" ht="15" customHeight="1" x14ac:dyDescent="0.35">
      <c r="A72" s="168">
        <v>2003</v>
      </c>
      <c r="B72" s="172">
        <v>11278.8</v>
      </c>
      <c r="C72" s="169">
        <v>0.82640000000000002</v>
      </c>
      <c r="D72" s="169">
        <v>0.80640000000000001</v>
      </c>
      <c r="E72" s="169">
        <v>0.77549999999999997</v>
      </c>
      <c r="F72" s="169">
        <v>0.81389999999999996</v>
      </c>
      <c r="G72" s="169">
        <v>0.82310000000000005</v>
      </c>
      <c r="H72" s="169">
        <v>0.8236</v>
      </c>
      <c r="I72" s="169">
        <v>0.82120000000000004</v>
      </c>
      <c r="J72" s="170">
        <v>0.71960000000000002</v>
      </c>
      <c r="K72" s="171">
        <v>0.82640000000000002</v>
      </c>
      <c r="L72" s="171">
        <v>0.74860000000000004</v>
      </c>
      <c r="M72" s="171">
        <v>0.7893</v>
      </c>
      <c r="N72" s="171">
        <v>0.8831</v>
      </c>
      <c r="O72" s="171">
        <v>0.88219999999999998</v>
      </c>
      <c r="P72" s="171">
        <v>0.88539999999999996</v>
      </c>
      <c r="Q72" s="60"/>
    </row>
    <row r="73" spans="1:17" ht="15" customHeight="1" x14ac:dyDescent="0.35">
      <c r="A73" s="168">
        <v>2004</v>
      </c>
      <c r="B73" s="172">
        <v>12028.4</v>
      </c>
      <c r="C73" s="169">
        <v>0.84660000000000002</v>
      </c>
      <c r="D73" s="169">
        <v>0.82779999999999998</v>
      </c>
      <c r="E73" s="169">
        <v>0.80479999999999996</v>
      </c>
      <c r="F73" s="169">
        <v>0.8337</v>
      </c>
      <c r="G73" s="169">
        <v>0.84199999999999997</v>
      </c>
      <c r="H73" s="169">
        <v>0.84240000000000004</v>
      </c>
      <c r="I73" s="169">
        <v>0.84040000000000004</v>
      </c>
      <c r="J73" s="170">
        <v>0.74639999999999995</v>
      </c>
      <c r="K73" s="171">
        <v>0.84660000000000002</v>
      </c>
      <c r="L73" s="171">
        <v>0.78459999999999996</v>
      </c>
      <c r="M73" s="171">
        <v>0.81530000000000002</v>
      </c>
      <c r="N73" s="171">
        <v>0.89500000000000002</v>
      </c>
      <c r="O73" s="171">
        <v>0.89429999999999998</v>
      </c>
      <c r="P73" s="171">
        <v>0.89710000000000001</v>
      </c>
      <c r="Q73" s="60"/>
    </row>
    <row r="74" spans="1:17" ht="15" customHeight="1" x14ac:dyDescent="0.35">
      <c r="A74" s="168">
        <v>2005</v>
      </c>
      <c r="B74" s="172">
        <v>12840</v>
      </c>
      <c r="C74" s="169">
        <v>0.87229999999999996</v>
      </c>
      <c r="D74" s="169">
        <v>0.85619999999999996</v>
      </c>
      <c r="E74" s="169">
        <v>0.84319999999999995</v>
      </c>
      <c r="F74" s="169">
        <v>0.85960000000000003</v>
      </c>
      <c r="G74" s="169">
        <v>0.86570000000000003</v>
      </c>
      <c r="H74" s="169">
        <v>0.8659</v>
      </c>
      <c r="I74" s="169">
        <v>0.86450000000000005</v>
      </c>
      <c r="J74" s="170">
        <v>0.79</v>
      </c>
      <c r="K74" s="171">
        <v>0.87229999999999996</v>
      </c>
      <c r="L74" s="171">
        <v>0.82130000000000003</v>
      </c>
      <c r="M74" s="171">
        <v>0.84450000000000003</v>
      </c>
      <c r="N74" s="171">
        <v>0.91169999999999995</v>
      </c>
      <c r="O74" s="171">
        <v>0.91080000000000005</v>
      </c>
      <c r="P74" s="171">
        <v>0.91469999999999996</v>
      </c>
      <c r="Q74" s="60"/>
    </row>
    <row r="75" spans="1:17" ht="15" customHeight="1" x14ac:dyDescent="0.35">
      <c r="A75" s="168">
        <v>2006</v>
      </c>
      <c r="B75" s="172">
        <v>13636.8</v>
      </c>
      <c r="C75" s="169">
        <v>0.90069999999999995</v>
      </c>
      <c r="D75" s="169">
        <v>0.88629999999999998</v>
      </c>
      <c r="E75" s="169">
        <v>0.87939999999999996</v>
      </c>
      <c r="F75" s="169">
        <v>0.8881</v>
      </c>
      <c r="G75" s="169">
        <v>0.89259999999999995</v>
      </c>
      <c r="H75" s="169">
        <v>0.89280000000000004</v>
      </c>
      <c r="I75" s="169">
        <v>0.89170000000000005</v>
      </c>
      <c r="J75" s="170">
        <v>0.83069999999999999</v>
      </c>
      <c r="K75" s="171">
        <v>0.90069999999999995</v>
      </c>
      <c r="L75" s="171">
        <v>0.85150000000000003</v>
      </c>
      <c r="M75" s="171">
        <v>0.87209999999999999</v>
      </c>
      <c r="N75" s="171">
        <v>0.92659999999999998</v>
      </c>
      <c r="O75" s="171">
        <v>0.9264</v>
      </c>
      <c r="P75" s="171">
        <v>0.9274</v>
      </c>
      <c r="Q75" s="60"/>
    </row>
    <row r="76" spans="1:17" ht="15" customHeight="1" x14ac:dyDescent="0.35">
      <c r="A76" s="168">
        <v>2007</v>
      </c>
      <c r="B76" s="172">
        <v>14305.4</v>
      </c>
      <c r="C76" s="169">
        <v>0.9254</v>
      </c>
      <c r="D76" s="169">
        <v>0.91100000000000003</v>
      </c>
      <c r="E76" s="169">
        <v>0.9083</v>
      </c>
      <c r="F76" s="169">
        <v>0.91169999999999995</v>
      </c>
      <c r="G76" s="169">
        <v>0.91249999999999998</v>
      </c>
      <c r="H76" s="169">
        <v>0.91249999999999998</v>
      </c>
      <c r="I76" s="169">
        <v>0.91210000000000002</v>
      </c>
      <c r="J76" s="170">
        <v>0.87570000000000003</v>
      </c>
      <c r="K76" s="171">
        <v>0.9254</v>
      </c>
      <c r="L76" s="171">
        <v>0.88229999999999997</v>
      </c>
      <c r="M76" s="171">
        <v>0.90429999999999999</v>
      </c>
      <c r="N76" s="171">
        <v>0.93959999999999999</v>
      </c>
      <c r="O76" s="171">
        <v>0.94010000000000005</v>
      </c>
      <c r="P76" s="171">
        <v>0.93810000000000004</v>
      </c>
      <c r="Q76" s="60"/>
    </row>
    <row r="77" spans="1:17" ht="15" customHeight="1" x14ac:dyDescent="0.35">
      <c r="A77" s="168">
        <v>2008</v>
      </c>
      <c r="B77" s="172">
        <v>14796.6</v>
      </c>
      <c r="C77" s="169">
        <v>0.94469999999999998</v>
      </c>
      <c r="D77" s="169">
        <v>0.94269999999999998</v>
      </c>
      <c r="E77" s="169">
        <v>0.94330000000000003</v>
      </c>
      <c r="F77" s="169">
        <v>0.9425</v>
      </c>
      <c r="G77" s="169">
        <v>0.94450000000000001</v>
      </c>
      <c r="H77" s="169">
        <v>0.94450000000000001</v>
      </c>
      <c r="I77" s="169">
        <v>0.94420000000000004</v>
      </c>
      <c r="J77" s="170">
        <v>0.91890000000000005</v>
      </c>
      <c r="K77" s="171">
        <v>0.94469999999999998</v>
      </c>
      <c r="L77" s="171">
        <v>0.91080000000000005</v>
      </c>
      <c r="M77" s="171">
        <v>0.92659999999999998</v>
      </c>
      <c r="N77" s="171">
        <v>0.95689999999999997</v>
      </c>
      <c r="O77" s="171">
        <v>0.95709999999999995</v>
      </c>
      <c r="P77" s="171">
        <v>0.95599999999999996</v>
      </c>
      <c r="Q77" s="60"/>
    </row>
    <row r="78" spans="1:17" ht="15" customHeight="1" x14ac:dyDescent="0.35">
      <c r="A78" s="168">
        <v>2009</v>
      </c>
      <c r="B78" s="172">
        <v>14467.3</v>
      </c>
      <c r="C78" s="169">
        <v>0.95430000000000004</v>
      </c>
      <c r="D78" s="169">
        <v>0.94130000000000003</v>
      </c>
      <c r="E78" s="169">
        <v>0.94120000000000004</v>
      </c>
      <c r="F78" s="169">
        <v>0.94130000000000003</v>
      </c>
      <c r="G78" s="169">
        <v>0.94199999999999995</v>
      </c>
      <c r="H78" s="169">
        <v>0.94199999999999995</v>
      </c>
      <c r="I78" s="169">
        <v>0.94210000000000005</v>
      </c>
      <c r="J78" s="170">
        <v>0.93230000000000002</v>
      </c>
      <c r="K78" s="171">
        <v>0.95430000000000004</v>
      </c>
      <c r="L78" s="171">
        <v>0.92779999999999996</v>
      </c>
      <c r="M78" s="171">
        <v>0.93379999999999996</v>
      </c>
      <c r="N78" s="171">
        <v>0.96430000000000005</v>
      </c>
      <c r="O78" s="171">
        <v>0.96550000000000002</v>
      </c>
      <c r="P78" s="171">
        <v>0.96079999999999999</v>
      </c>
      <c r="Q78" s="60"/>
    </row>
    <row r="79" spans="1:17" ht="15" customHeight="1" x14ac:dyDescent="0.35">
      <c r="A79" s="168">
        <v>2010</v>
      </c>
      <c r="B79" s="172">
        <v>14884.4</v>
      </c>
      <c r="C79" s="169">
        <v>0.96260000000000001</v>
      </c>
      <c r="D79" s="169">
        <v>0.95820000000000005</v>
      </c>
      <c r="E79" s="169">
        <v>0.95840000000000003</v>
      </c>
      <c r="F79" s="169">
        <v>0.95820000000000005</v>
      </c>
      <c r="G79" s="169">
        <v>0.95840000000000003</v>
      </c>
      <c r="H79" s="169">
        <v>0.95840000000000003</v>
      </c>
      <c r="I79" s="169">
        <v>0.95820000000000005</v>
      </c>
      <c r="J79" s="170">
        <v>0.94730000000000003</v>
      </c>
      <c r="K79" s="171">
        <v>0.96260000000000001</v>
      </c>
      <c r="L79" s="171">
        <v>0.95509999999999995</v>
      </c>
      <c r="M79" s="171">
        <v>0.96350000000000002</v>
      </c>
      <c r="N79" s="171">
        <v>0.9698</v>
      </c>
      <c r="O79" s="171">
        <v>0.96970000000000001</v>
      </c>
      <c r="P79" s="171">
        <v>0.97030000000000005</v>
      </c>
      <c r="Q79" s="60"/>
    </row>
    <row r="80" spans="1:17" ht="15" customHeight="1" x14ac:dyDescent="0.35">
      <c r="A80" s="168">
        <v>2011</v>
      </c>
      <c r="B80" s="172">
        <v>15466.5</v>
      </c>
      <c r="C80" s="169">
        <v>0.98199999999999998</v>
      </c>
      <c r="D80" s="169">
        <v>0.98089999999999999</v>
      </c>
      <c r="E80" s="169">
        <v>0.98650000000000004</v>
      </c>
      <c r="F80" s="169">
        <v>0.97960000000000003</v>
      </c>
      <c r="G80" s="169">
        <v>0.97960000000000003</v>
      </c>
      <c r="H80" s="169">
        <v>0.97960000000000003</v>
      </c>
      <c r="I80" s="169">
        <v>0.97940000000000005</v>
      </c>
      <c r="J80" s="170">
        <v>0.97409999999999997</v>
      </c>
      <c r="K80" s="171">
        <v>0.98199999999999998</v>
      </c>
      <c r="L80" s="171">
        <v>0.98860000000000003</v>
      </c>
      <c r="M80" s="171">
        <v>0.98709999999999998</v>
      </c>
      <c r="N80" s="171">
        <v>0.98950000000000005</v>
      </c>
      <c r="O80" s="171">
        <v>0.98870000000000002</v>
      </c>
      <c r="P80" s="171">
        <v>0.99170000000000003</v>
      </c>
      <c r="Q80" s="60"/>
    </row>
    <row r="81" spans="1:17" ht="15" customHeight="1" x14ac:dyDescent="0.35">
      <c r="A81" s="168">
        <v>2012</v>
      </c>
      <c r="B81" s="172">
        <v>16109.4</v>
      </c>
      <c r="C81" s="169">
        <v>1</v>
      </c>
      <c r="D81" s="169">
        <v>1</v>
      </c>
      <c r="E81" s="169">
        <v>1</v>
      </c>
      <c r="F81" s="169">
        <v>1</v>
      </c>
      <c r="G81" s="169">
        <v>1</v>
      </c>
      <c r="H81" s="169">
        <v>1</v>
      </c>
      <c r="I81" s="169">
        <v>1</v>
      </c>
      <c r="J81" s="170">
        <v>1</v>
      </c>
      <c r="K81" s="171">
        <v>1</v>
      </c>
      <c r="L81" s="171">
        <v>1</v>
      </c>
      <c r="M81" s="171">
        <v>1</v>
      </c>
      <c r="N81" s="171">
        <v>1</v>
      </c>
      <c r="O81" s="171">
        <v>1</v>
      </c>
      <c r="P81" s="171">
        <v>1</v>
      </c>
      <c r="Q81" s="60"/>
    </row>
    <row r="82" spans="1:17" ht="15" customHeight="1" x14ac:dyDescent="0.35">
      <c r="A82" s="168">
        <v>2013</v>
      </c>
      <c r="B82" s="172">
        <v>16665.099999999999</v>
      </c>
      <c r="C82" s="169">
        <v>1.0183</v>
      </c>
      <c r="D82" s="169">
        <v>1.0142</v>
      </c>
      <c r="E82" s="169">
        <v>1.0069999999999999</v>
      </c>
      <c r="F82" s="169">
        <v>1.0159</v>
      </c>
      <c r="G82" s="169">
        <v>1.0147999999999999</v>
      </c>
      <c r="H82" s="169">
        <v>1.0147999999999999</v>
      </c>
      <c r="I82" s="169">
        <v>1.0147999999999999</v>
      </c>
      <c r="J82" s="170">
        <v>1.0266</v>
      </c>
      <c r="K82" s="171">
        <v>1.0183</v>
      </c>
      <c r="L82" s="171">
        <v>1.0081</v>
      </c>
      <c r="M82" s="171">
        <v>1.0125</v>
      </c>
      <c r="N82" s="171">
        <v>1.004</v>
      </c>
      <c r="O82" s="171">
        <v>1.0031000000000001</v>
      </c>
      <c r="P82" s="171">
        <v>1.0065</v>
      </c>
      <c r="Q82" s="60"/>
    </row>
    <row r="83" spans="1:17" ht="15" customHeight="1" x14ac:dyDescent="0.35">
      <c r="A83" s="168">
        <v>2014</v>
      </c>
      <c r="B83" s="172">
        <v>17370.8</v>
      </c>
      <c r="C83" s="169">
        <v>1.038</v>
      </c>
      <c r="D83" s="169">
        <v>1.0304</v>
      </c>
      <c r="E83" s="169">
        <v>1.0234000000000001</v>
      </c>
      <c r="F83" s="169">
        <v>1.0318000000000001</v>
      </c>
      <c r="G83" s="169">
        <v>1.0304</v>
      </c>
      <c r="H83" s="169">
        <v>1.0304</v>
      </c>
      <c r="I83" s="169">
        <v>1.0305</v>
      </c>
      <c r="J83" s="170">
        <v>1.0511999999999999</v>
      </c>
      <c r="K83" s="171">
        <v>1.038</v>
      </c>
      <c r="L83" s="171">
        <v>1.0428999999999999</v>
      </c>
      <c r="M83" s="171">
        <v>1.0329999999999999</v>
      </c>
      <c r="N83" s="171">
        <v>1.018</v>
      </c>
      <c r="O83" s="171">
        <v>1.0162</v>
      </c>
      <c r="P83" s="171">
        <v>1.0235000000000001</v>
      </c>
      <c r="Q83" s="60"/>
    </row>
    <row r="84" spans="1:17" ht="15" customHeight="1" x14ac:dyDescent="0.35">
      <c r="A84" s="168">
        <v>2015</v>
      </c>
      <c r="B84" s="172">
        <v>18086.099999999999</v>
      </c>
      <c r="C84" s="169">
        <v>1.0499000000000001</v>
      </c>
      <c r="D84" s="169">
        <v>1.0359</v>
      </c>
      <c r="E84" s="169">
        <v>1.0277000000000001</v>
      </c>
      <c r="F84" s="169">
        <v>1.0374000000000001</v>
      </c>
      <c r="G84" s="169">
        <v>1.0350999999999999</v>
      </c>
      <c r="H84" s="169">
        <v>1.0350999999999999</v>
      </c>
      <c r="I84" s="169">
        <v>1.0353000000000001</v>
      </c>
      <c r="J84" s="170">
        <v>1.0605</v>
      </c>
      <c r="K84" s="171">
        <v>1.0499000000000001</v>
      </c>
      <c r="L84" s="171">
        <v>1.056</v>
      </c>
      <c r="M84" s="171">
        <v>1.0483</v>
      </c>
      <c r="N84" s="171">
        <v>1.0208999999999999</v>
      </c>
      <c r="O84" s="171">
        <v>1.0186999999999999</v>
      </c>
      <c r="P84" s="171">
        <v>1.0269999999999999</v>
      </c>
      <c r="Q84" s="60"/>
    </row>
    <row r="85" spans="1:17" ht="15" customHeight="1" x14ac:dyDescent="0.35">
      <c r="A85" s="168">
        <v>2016</v>
      </c>
      <c r="B85" s="172">
        <v>18536.099999999999</v>
      </c>
      <c r="C85" s="169">
        <v>1.0586</v>
      </c>
      <c r="D85" s="169">
        <v>1.0424</v>
      </c>
      <c r="E85" s="169">
        <v>1.0314000000000001</v>
      </c>
      <c r="F85" s="169">
        <v>1.0444</v>
      </c>
      <c r="G85" s="169">
        <v>1.0421</v>
      </c>
      <c r="H85" s="169">
        <v>1.0421</v>
      </c>
      <c r="I85" s="169">
        <v>1.0422</v>
      </c>
      <c r="J85" s="170">
        <v>1.0644</v>
      </c>
      <c r="K85" s="171">
        <v>1.0586</v>
      </c>
      <c r="L85" s="171">
        <v>1.0694999999999999</v>
      </c>
      <c r="M85" s="171">
        <v>1.0570999999999999</v>
      </c>
      <c r="N85" s="171">
        <v>1.0185</v>
      </c>
      <c r="O85" s="171">
        <v>1.0164</v>
      </c>
      <c r="P85" s="171">
        <v>1.0246</v>
      </c>
      <c r="Q85" s="60"/>
    </row>
    <row r="86" spans="1:17" ht="15" customHeight="1" x14ac:dyDescent="0.35">
      <c r="A86" s="168">
        <v>2017</v>
      </c>
      <c r="B86" s="172">
        <v>19250.900000000001</v>
      </c>
      <c r="C86" s="169">
        <v>1.0774999999999999</v>
      </c>
      <c r="D86" s="169">
        <v>1.06</v>
      </c>
      <c r="E86" s="169">
        <v>1.0456000000000001</v>
      </c>
      <c r="F86" s="169">
        <v>1.0626</v>
      </c>
      <c r="G86" s="169">
        <v>1.0602</v>
      </c>
      <c r="H86" s="169">
        <v>1.0602</v>
      </c>
      <c r="I86" s="169">
        <v>1.0603</v>
      </c>
      <c r="J86" s="170">
        <v>1.0843</v>
      </c>
      <c r="K86" s="171">
        <v>1.0774999999999999</v>
      </c>
      <c r="L86" s="171">
        <v>1.0984</v>
      </c>
      <c r="M86" s="171">
        <v>1.0784</v>
      </c>
      <c r="N86" s="171">
        <v>1.0251999999999999</v>
      </c>
      <c r="O86" s="171">
        <v>1.0218</v>
      </c>
      <c r="P86" s="171">
        <v>1.0371999999999999</v>
      </c>
      <c r="Q86" s="60"/>
    </row>
    <row r="87" spans="1:17" ht="15" customHeight="1" x14ac:dyDescent="0.35">
      <c r="A87" s="168">
        <v>2018</v>
      </c>
      <c r="B87" s="172">
        <v>20294.599999999999</v>
      </c>
      <c r="C87" s="169">
        <v>1.1026</v>
      </c>
      <c r="D87" s="169">
        <v>1.0842000000000001</v>
      </c>
      <c r="E87" s="169">
        <v>1.0726</v>
      </c>
      <c r="F87" s="169">
        <v>1.0863</v>
      </c>
      <c r="G87" s="169">
        <v>1.0826</v>
      </c>
      <c r="H87" s="169">
        <v>1.0825</v>
      </c>
      <c r="I87" s="169">
        <v>1.0828</v>
      </c>
      <c r="J87" s="170">
        <v>1.1205000000000001</v>
      </c>
      <c r="K87" s="171">
        <v>1.1026</v>
      </c>
      <c r="L87" s="171">
        <v>1.1388</v>
      </c>
      <c r="M87" s="171">
        <v>1.1133999999999999</v>
      </c>
      <c r="N87" s="171">
        <v>1.0371999999999999</v>
      </c>
      <c r="O87" s="171">
        <v>1.0323</v>
      </c>
      <c r="P87" s="171">
        <v>1.0582</v>
      </c>
      <c r="Q87" s="60"/>
    </row>
    <row r="88" spans="1:17" ht="15" customHeight="1" x14ac:dyDescent="0.35">
      <c r="A88" s="168">
        <v>2019</v>
      </c>
      <c r="B88" s="172">
        <v>21152.3</v>
      </c>
      <c r="C88" s="169">
        <v>1.1241000000000001</v>
      </c>
      <c r="D88" s="169">
        <v>1.1032999999999999</v>
      </c>
      <c r="E88" s="169">
        <v>1.0948</v>
      </c>
      <c r="F88" s="169">
        <v>1.1049</v>
      </c>
      <c r="G88" s="169">
        <v>1.1000000000000001</v>
      </c>
      <c r="H88" s="169">
        <v>1.1000000000000001</v>
      </c>
      <c r="I88" s="169">
        <v>1.1003000000000001</v>
      </c>
      <c r="J88" s="170">
        <v>1.1504000000000001</v>
      </c>
      <c r="K88" s="171">
        <v>1.1241000000000001</v>
      </c>
      <c r="L88" s="171">
        <v>1.1791</v>
      </c>
      <c r="M88" s="171">
        <v>1.1446000000000001</v>
      </c>
      <c r="N88" s="171">
        <v>1.0518000000000001</v>
      </c>
      <c r="O88" s="171">
        <v>1.0457000000000001</v>
      </c>
      <c r="P88" s="171">
        <v>1.0806</v>
      </c>
      <c r="Q88" s="60"/>
    </row>
    <row r="89" spans="1:17" ht="15" customHeight="1" x14ac:dyDescent="0.35">
      <c r="A89" s="168">
        <v>2020</v>
      </c>
      <c r="B89" s="172">
        <v>20948</v>
      </c>
      <c r="C89" s="169">
        <v>1.1391</v>
      </c>
      <c r="D89" s="169">
        <v>1.1256999999999999</v>
      </c>
      <c r="E89" s="169">
        <v>1.1061000000000001</v>
      </c>
      <c r="F89" s="169">
        <v>1.1282000000000001</v>
      </c>
      <c r="G89" s="169">
        <v>1.1137999999999999</v>
      </c>
      <c r="H89" s="169">
        <v>1.1137999999999999</v>
      </c>
      <c r="I89" s="169">
        <v>1.1141000000000001</v>
      </c>
      <c r="J89" s="170">
        <v>1.1696</v>
      </c>
      <c r="K89" s="171">
        <v>1.1391</v>
      </c>
      <c r="L89" s="171">
        <v>1.1848000000000001</v>
      </c>
      <c r="M89" s="171">
        <v>1.1778</v>
      </c>
      <c r="N89" s="171">
        <v>1.0643</v>
      </c>
      <c r="O89" s="171">
        <v>1.0556000000000001</v>
      </c>
      <c r="P89" s="171">
        <v>1.0945</v>
      </c>
      <c r="Q89" s="60"/>
    </row>
    <row r="90" spans="1:17" ht="15" customHeight="1" x14ac:dyDescent="0.35">
      <c r="A90" s="168">
        <v>2021</v>
      </c>
      <c r="B90" s="172">
        <v>22357.599999999999</v>
      </c>
      <c r="C90" s="169">
        <v>1.1740999999999999</v>
      </c>
      <c r="D90" s="169">
        <v>1.1554</v>
      </c>
      <c r="E90" s="169">
        <v>1.1383000000000001</v>
      </c>
      <c r="F90" s="169">
        <v>1.1576</v>
      </c>
      <c r="G90" s="169">
        <v>1.1449</v>
      </c>
      <c r="H90" s="169">
        <v>1.1449</v>
      </c>
      <c r="I90" s="169">
        <v>1.1453</v>
      </c>
      <c r="J90" s="170">
        <v>1.2119</v>
      </c>
      <c r="K90" s="171">
        <v>1.1740999999999999</v>
      </c>
      <c r="L90" s="171">
        <v>1.2201</v>
      </c>
      <c r="M90" s="171">
        <v>1.2085999999999999</v>
      </c>
      <c r="N90" s="171">
        <v>1.087</v>
      </c>
      <c r="O90" s="171">
        <v>1.0778000000000001</v>
      </c>
      <c r="P90" s="171">
        <v>1.1252</v>
      </c>
      <c r="Q90" s="60"/>
    </row>
    <row r="91" spans="1:17" ht="13.9" customHeight="1" x14ac:dyDescent="0.35">
      <c r="A91" s="168" t="s">
        <v>850</v>
      </c>
      <c r="B91" s="172">
        <v>24256.1</v>
      </c>
      <c r="C91" s="169">
        <v>1.22</v>
      </c>
      <c r="D91" s="169">
        <v>1.2139</v>
      </c>
      <c r="E91" s="169">
        <v>1.1836</v>
      </c>
      <c r="F91" s="169">
        <v>1.2186999999999999</v>
      </c>
      <c r="G91" s="169">
        <v>1.2126999999999999</v>
      </c>
      <c r="H91" s="169">
        <v>1.2125999999999999</v>
      </c>
      <c r="I91" s="169">
        <v>1.2131000000000001</v>
      </c>
      <c r="J91" s="170">
        <v>1.27</v>
      </c>
      <c r="K91" s="171">
        <v>1.22</v>
      </c>
      <c r="L91" s="171">
        <v>1.2678</v>
      </c>
      <c r="M91" s="171">
        <v>1.2471000000000001</v>
      </c>
      <c r="N91" s="171">
        <v>1.1312</v>
      </c>
      <c r="O91" s="171">
        <v>1.1200000000000001</v>
      </c>
      <c r="P91" s="171">
        <v>1.1692</v>
      </c>
      <c r="Q91" s="60"/>
    </row>
    <row r="92" spans="1:17" x14ac:dyDescent="0.35">
      <c r="A92" s="168" t="s">
        <v>851</v>
      </c>
      <c r="B92" s="172">
        <v>25566.5</v>
      </c>
      <c r="C92" s="169">
        <v>1.2465999999999999</v>
      </c>
      <c r="D92" s="169">
        <v>1.2425999999999999</v>
      </c>
      <c r="E92" s="169">
        <v>1.2097</v>
      </c>
      <c r="F92" s="169">
        <v>1.2481</v>
      </c>
      <c r="G92" s="169">
        <v>1.2431000000000001</v>
      </c>
      <c r="H92" s="169">
        <v>1.2428999999999999</v>
      </c>
      <c r="I92" s="169">
        <v>1.2437</v>
      </c>
      <c r="J92" s="170">
        <v>1.3088</v>
      </c>
      <c r="K92" s="171">
        <v>1.2465999999999999</v>
      </c>
      <c r="L92" s="171">
        <v>1.2954000000000001</v>
      </c>
      <c r="M92" s="171">
        <v>1.2721</v>
      </c>
      <c r="N92" s="171">
        <v>1.1559999999999999</v>
      </c>
      <c r="O92" s="171">
        <v>1.1444000000000001</v>
      </c>
      <c r="P92" s="171">
        <v>1.1947000000000001</v>
      </c>
      <c r="Q92" s="60"/>
    </row>
    <row r="93" spans="1:17" x14ac:dyDescent="0.35">
      <c r="A93" s="168" t="s">
        <v>852</v>
      </c>
      <c r="B93" s="172">
        <v>26693.599999999999</v>
      </c>
      <c r="C93" s="169">
        <v>1.2717000000000001</v>
      </c>
      <c r="D93" s="169">
        <v>1.2707999999999999</v>
      </c>
      <c r="E93" s="169">
        <v>1.2341</v>
      </c>
      <c r="F93" s="169">
        <v>1.2767999999999999</v>
      </c>
      <c r="G93" s="169">
        <v>1.2714000000000001</v>
      </c>
      <c r="H93" s="169">
        <v>1.2712000000000001</v>
      </c>
      <c r="I93" s="169">
        <v>1.272</v>
      </c>
      <c r="J93" s="170">
        <v>1.3482000000000001</v>
      </c>
      <c r="K93" s="171">
        <v>1.2717000000000001</v>
      </c>
      <c r="L93" s="171">
        <v>1.3214999999999999</v>
      </c>
      <c r="M93" s="171">
        <v>1.2977000000000001</v>
      </c>
      <c r="N93" s="171">
        <v>1.1781999999999999</v>
      </c>
      <c r="O93" s="171">
        <v>1.1674</v>
      </c>
      <c r="P93" s="171">
        <v>1.2186999999999999</v>
      </c>
      <c r="Q93" s="60"/>
    </row>
    <row r="94" spans="1:17" x14ac:dyDescent="0.35">
      <c r="A94" s="168" t="s">
        <v>853</v>
      </c>
      <c r="B94" s="172">
        <v>27787.3</v>
      </c>
      <c r="C94" s="169">
        <v>1.2970999999999999</v>
      </c>
      <c r="D94" s="169">
        <v>1.2983</v>
      </c>
      <c r="E94" s="169">
        <v>1.2586999999999999</v>
      </c>
      <c r="F94" s="169">
        <v>1.3046</v>
      </c>
      <c r="G94" s="169">
        <v>1.3</v>
      </c>
      <c r="H94" s="169">
        <v>1.2998000000000001</v>
      </c>
      <c r="I94" s="169">
        <v>1.3007</v>
      </c>
      <c r="J94" s="170">
        <v>1.3883000000000001</v>
      </c>
      <c r="K94" s="171">
        <v>1.2970999999999999</v>
      </c>
      <c r="L94" s="171">
        <v>1.3479000000000001</v>
      </c>
      <c r="M94" s="171">
        <v>1.3236000000000001</v>
      </c>
      <c r="N94" s="171">
        <v>1.2012</v>
      </c>
      <c r="O94" s="171">
        <v>1.1907000000000001</v>
      </c>
      <c r="P94" s="171">
        <v>1.2430000000000001</v>
      </c>
      <c r="Q94" s="60"/>
    </row>
    <row r="95" spans="1:17" x14ac:dyDescent="0.35">
      <c r="A95" s="168" t="s">
        <v>854</v>
      </c>
      <c r="B95" s="172">
        <v>28911.7</v>
      </c>
      <c r="C95" s="169">
        <v>1.3230999999999999</v>
      </c>
      <c r="D95" s="169">
        <v>1.3271999999999999</v>
      </c>
      <c r="E95" s="169">
        <v>1.284</v>
      </c>
      <c r="F95" s="169">
        <v>1.3337000000000001</v>
      </c>
      <c r="G95" s="169">
        <v>1.3293999999999999</v>
      </c>
      <c r="H95" s="169">
        <v>1.3292999999999999</v>
      </c>
      <c r="I95" s="169">
        <v>1.3302</v>
      </c>
      <c r="J95" s="170">
        <v>1.4300999999999999</v>
      </c>
      <c r="K95" s="171">
        <v>1.3230999999999999</v>
      </c>
      <c r="L95" s="171">
        <v>1.3749</v>
      </c>
      <c r="M95" s="171">
        <v>1.3501000000000001</v>
      </c>
      <c r="N95" s="171">
        <v>1.2250000000000001</v>
      </c>
      <c r="O95" s="171">
        <v>1.2145999999999999</v>
      </c>
      <c r="P95" s="171">
        <v>1.268</v>
      </c>
      <c r="Q95" s="60"/>
    </row>
    <row r="96" spans="1:17" x14ac:dyDescent="0.35">
      <c r="A96" s="168" t="s">
        <v>855</v>
      </c>
      <c r="B96" s="172">
        <v>30080.2</v>
      </c>
      <c r="C96" s="169">
        <v>1.3495999999999999</v>
      </c>
      <c r="D96" s="169">
        <v>1.3564000000000001</v>
      </c>
      <c r="E96" s="169">
        <v>1.3097000000000001</v>
      </c>
      <c r="F96" s="169">
        <v>1.3633</v>
      </c>
      <c r="G96" s="169">
        <v>1.3594999999999999</v>
      </c>
      <c r="H96" s="169">
        <v>1.3593999999999999</v>
      </c>
      <c r="I96" s="169">
        <v>1.3603000000000001</v>
      </c>
      <c r="J96" s="170">
        <v>1.4729000000000001</v>
      </c>
      <c r="K96" s="171">
        <v>1.3495999999999999</v>
      </c>
      <c r="L96" s="171">
        <v>1.4024000000000001</v>
      </c>
      <c r="M96" s="171">
        <v>1.3771</v>
      </c>
      <c r="N96" s="171">
        <v>1.2491000000000001</v>
      </c>
      <c r="O96" s="171">
        <v>1.2388999999999999</v>
      </c>
      <c r="P96" s="171">
        <v>1.2932999999999999</v>
      </c>
      <c r="Q96" s="60"/>
    </row>
    <row r="97" spans="1:17" x14ac:dyDescent="0.35">
      <c r="A97" s="438" t="s">
        <v>856</v>
      </c>
      <c r="B97" s="438"/>
      <c r="C97" s="438"/>
      <c r="D97" s="438"/>
      <c r="E97" s="438"/>
      <c r="F97" s="438"/>
      <c r="G97" s="438"/>
      <c r="H97" s="438"/>
      <c r="I97" s="438"/>
      <c r="J97" s="438"/>
      <c r="K97" s="438"/>
      <c r="L97" s="438"/>
      <c r="M97" s="438"/>
      <c r="N97" s="438"/>
      <c r="O97" s="438"/>
      <c r="P97" s="438"/>
      <c r="Q97" s="60"/>
    </row>
    <row r="98" spans="1:17" x14ac:dyDescent="0.35">
      <c r="A98" s="60" t="s">
        <v>857</v>
      </c>
      <c r="B98" s="60"/>
      <c r="C98" s="60"/>
      <c r="D98" s="60"/>
      <c r="E98" s="60"/>
      <c r="F98" s="60"/>
      <c r="G98" s="60"/>
      <c r="H98" s="60"/>
      <c r="I98" s="60"/>
      <c r="J98" s="60"/>
      <c r="K98" s="60"/>
      <c r="L98" s="60"/>
      <c r="M98" s="60"/>
      <c r="N98" s="60"/>
      <c r="O98" s="60"/>
      <c r="P98" s="60"/>
      <c r="Q98" s="60"/>
    </row>
  </sheetData>
  <sheetProtection algorithmName="SHA-512" hashValue="HhAEzx7lBoaBTPJbopmCtbGJ3FfGxkB8Mqam5GMzLXcB205ocuaJ3Fs7ryXqGAt9igVYw6K4QVTrSrDqQ4nN4Q==" saltValue="VN00ZemhoZVPvjAYwfmRZw==" spinCount="100000" sheet="1" objects="1" scenarios="1"/>
  <mergeCells count="11">
    <mergeCell ref="M4:M7"/>
    <mergeCell ref="N4:P6"/>
    <mergeCell ref="Q4:Q6"/>
    <mergeCell ref="A97:P97"/>
    <mergeCell ref="A1:P1"/>
    <mergeCell ref="A2:P2"/>
    <mergeCell ref="A3:A7"/>
    <mergeCell ref="D3:P3"/>
    <mergeCell ref="D4:D7"/>
    <mergeCell ref="G4:I6"/>
    <mergeCell ref="K4:K7"/>
  </mergeCells>
  <printOptions gridLines="1"/>
  <pageMargins left="0.7" right="0.7" top="0.75" bottom="0.75" header="0.3" footer="0.3"/>
  <pageSetup orientation="landscape" useFirstPageNumber="1"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D61"/>
  <sheetViews>
    <sheetView zoomScale="115" zoomScaleNormal="115" workbookViewId="0">
      <selection activeCell="E12" sqref="E12"/>
    </sheetView>
  </sheetViews>
  <sheetFormatPr defaultColWidth="8.7265625" defaultRowHeight="13" x14ac:dyDescent="0.3"/>
  <cols>
    <col min="1" max="1" width="68.7265625" style="278" customWidth="1"/>
    <col min="2" max="2" width="18.26953125" style="278" customWidth="1"/>
    <col min="3" max="3" width="85" style="278" customWidth="1"/>
    <col min="4" max="16384" width="8.7265625" style="98"/>
  </cols>
  <sheetData>
    <row r="1" spans="1:4" x14ac:dyDescent="0.3">
      <c r="A1" s="99" t="s">
        <v>0</v>
      </c>
      <c r="B1" s="99" t="s">
        <v>1</v>
      </c>
      <c r="C1" s="99" t="s">
        <v>2</v>
      </c>
    </row>
    <row r="2" spans="1:4" x14ac:dyDescent="0.3">
      <c r="A2" s="99" t="s">
        <v>3</v>
      </c>
      <c r="B2" s="99"/>
      <c r="C2" s="99"/>
    </row>
    <row r="3" spans="1:4" x14ac:dyDescent="0.3">
      <c r="A3" s="112" t="s">
        <v>4</v>
      </c>
      <c r="B3" s="224">
        <v>7.0000000000000007E-2</v>
      </c>
      <c r="C3" s="225" t="s">
        <v>5</v>
      </c>
    </row>
    <row r="4" spans="1:4" x14ac:dyDescent="0.3">
      <c r="A4" s="225" t="s">
        <v>6</v>
      </c>
      <c r="B4" s="390">
        <v>0.03</v>
      </c>
      <c r="C4" s="225" t="s">
        <v>5</v>
      </c>
    </row>
    <row r="5" spans="1:4" x14ac:dyDescent="0.3">
      <c r="A5" s="225" t="s">
        <v>7</v>
      </c>
      <c r="B5" s="225" t="s">
        <v>8</v>
      </c>
      <c r="C5" s="279" t="s">
        <v>9</v>
      </c>
    </row>
    <row r="6" spans="1:4" x14ac:dyDescent="0.3">
      <c r="A6" s="225" t="s">
        <v>10</v>
      </c>
      <c r="B6" s="225">
        <v>2023</v>
      </c>
      <c r="C6" s="394" t="s">
        <v>11</v>
      </c>
    </row>
    <row r="7" spans="1:4" x14ac:dyDescent="0.3">
      <c r="A7" s="225" t="s">
        <v>12</v>
      </c>
      <c r="B7" s="225">
        <v>2027</v>
      </c>
      <c r="C7" s="394" t="s">
        <v>11</v>
      </c>
    </row>
    <row r="8" spans="1:4" x14ac:dyDescent="0.3">
      <c r="A8" s="225" t="s">
        <v>13</v>
      </c>
      <c r="B8" s="225">
        <v>20</v>
      </c>
      <c r="C8" s="225"/>
    </row>
    <row r="9" spans="1:4" x14ac:dyDescent="0.3">
      <c r="A9" s="225" t="s">
        <v>14</v>
      </c>
      <c r="B9" s="225">
        <v>2021</v>
      </c>
      <c r="C9" s="225" t="s">
        <v>5</v>
      </c>
    </row>
    <row r="10" spans="1:4" x14ac:dyDescent="0.3">
      <c r="A10" s="225" t="s">
        <v>15</v>
      </c>
      <c r="B10" s="225">
        <v>2021</v>
      </c>
      <c r="C10" s="225" t="s">
        <v>5</v>
      </c>
    </row>
    <row r="11" spans="1:4" x14ac:dyDescent="0.3">
      <c r="A11" s="225" t="s">
        <v>16</v>
      </c>
      <c r="B11" s="225">
        <f>B7+1</f>
        <v>2028</v>
      </c>
      <c r="C11" s="394" t="s">
        <v>11</v>
      </c>
    </row>
    <row r="12" spans="1:4" x14ac:dyDescent="0.3">
      <c r="A12" s="99" t="s">
        <v>17</v>
      </c>
      <c r="B12" s="225"/>
      <c r="C12" s="225"/>
    </row>
    <row r="13" spans="1:4" x14ac:dyDescent="0.3">
      <c r="A13" s="225" t="s">
        <v>18</v>
      </c>
      <c r="B13" s="224">
        <v>0.06</v>
      </c>
      <c r="C13" s="225" t="s">
        <v>19</v>
      </c>
      <c r="D13" s="280"/>
    </row>
    <row r="14" spans="1:4" x14ac:dyDescent="0.3">
      <c r="A14" s="225" t="s">
        <v>20</v>
      </c>
      <c r="B14" s="225">
        <v>320</v>
      </c>
      <c r="C14" s="225" t="s">
        <v>21</v>
      </c>
    </row>
    <row r="15" spans="1:4" x14ac:dyDescent="0.3">
      <c r="A15" s="225" t="s">
        <v>22</v>
      </c>
      <c r="B15" s="225">
        <f>24*12</f>
        <v>288</v>
      </c>
      <c r="C15" s="225" t="s">
        <v>23</v>
      </c>
    </row>
    <row r="16" spans="1:4" x14ac:dyDescent="0.3">
      <c r="A16" s="225" t="s">
        <v>24</v>
      </c>
      <c r="B16" s="391">
        <v>0.02</v>
      </c>
      <c r="C16" s="225" t="s">
        <v>19</v>
      </c>
    </row>
    <row r="17" spans="1:4" x14ac:dyDescent="0.3">
      <c r="A17" s="225" t="s">
        <v>25</v>
      </c>
      <c r="B17" s="226">
        <f>15/60</f>
        <v>0.25</v>
      </c>
      <c r="C17" s="225" t="s">
        <v>19</v>
      </c>
      <c r="D17" s="280"/>
    </row>
    <row r="18" spans="1:4" x14ac:dyDescent="0.3">
      <c r="A18" s="225" t="s">
        <v>26</v>
      </c>
      <c r="B18" s="226">
        <f>8/60</f>
        <v>0.13333333333333333</v>
      </c>
      <c r="C18" s="225" t="s">
        <v>19</v>
      </c>
      <c r="D18" s="280"/>
    </row>
    <row r="19" spans="1:4" x14ac:dyDescent="0.3">
      <c r="A19" s="225" t="s">
        <v>27</v>
      </c>
      <c r="B19" s="226">
        <f>SUM(B17-B18)</f>
        <v>0.11666666666666667</v>
      </c>
      <c r="C19" s="225"/>
    </row>
    <row r="20" spans="1:4" s="280" customFormat="1" x14ac:dyDescent="0.3">
      <c r="A20" s="227" t="s">
        <v>28</v>
      </c>
      <c r="B20" s="346">
        <f>TIMS_Summary!E26</f>
        <v>3.5366238217660197</v>
      </c>
      <c r="C20" s="347" t="s">
        <v>29</v>
      </c>
    </row>
    <row r="21" spans="1:4" s="280" customFormat="1" x14ac:dyDescent="0.3">
      <c r="A21" s="227" t="s">
        <v>30</v>
      </c>
      <c r="B21" s="228">
        <f>(40-20)/60</f>
        <v>0.33333333333333331</v>
      </c>
      <c r="C21" s="227" t="s">
        <v>31</v>
      </c>
    </row>
    <row r="22" spans="1:4" s="280" customFormat="1" x14ac:dyDescent="0.3">
      <c r="A22" s="227" t="s">
        <v>32</v>
      </c>
      <c r="B22" s="228">
        <v>0.5</v>
      </c>
      <c r="C22" s="227" t="s">
        <v>33</v>
      </c>
    </row>
    <row r="23" spans="1:4" s="280" customFormat="1" x14ac:dyDescent="0.3">
      <c r="A23" s="227" t="s">
        <v>34</v>
      </c>
      <c r="B23" s="228">
        <f>TIMS_Summary!J34</f>
        <v>32.570487534561032</v>
      </c>
      <c r="C23" s="227" t="s">
        <v>29</v>
      </c>
    </row>
    <row r="24" spans="1:4" s="280" customFormat="1" x14ac:dyDescent="0.3">
      <c r="A24" s="227" t="s">
        <v>35</v>
      </c>
      <c r="B24" s="227">
        <v>13</v>
      </c>
      <c r="C24" s="227" t="s">
        <v>36</v>
      </c>
    </row>
    <row r="25" spans="1:4" s="280" customFormat="1" x14ac:dyDescent="0.3">
      <c r="A25" s="112" t="s">
        <v>37</v>
      </c>
      <c r="B25" s="395">
        <v>1.67</v>
      </c>
      <c r="C25" s="225" t="s">
        <v>5</v>
      </c>
    </row>
    <row r="26" spans="1:4" s="280" customFormat="1" ht="22.5" customHeight="1" x14ac:dyDescent="0.3">
      <c r="A26" s="112" t="s">
        <v>38</v>
      </c>
      <c r="B26" s="396">
        <v>0.4</v>
      </c>
      <c r="C26" s="232" t="s">
        <v>39</v>
      </c>
    </row>
    <row r="27" spans="1:4" x14ac:dyDescent="0.3">
      <c r="A27" s="99" t="s">
        <v>40</v>
      </c>
      <c r="B27" s="113"/>
      <c r="C27" s="225"/>
    </row>
    <row r="28" spans="1:4" x14ac:dyDescent="0.3">
      <c r="A28" s="225" t="s">
        <v>41</v>
      </c>
      <c r="B28" s="229">
        <v>60</v>
      </c>
      <c r="C28" s="225" t="s">
        <v>42</v>
      </c>
    </row>
    <row r="29" spans="1:4" x14ac:dyDescent="0.3">
      <c r="A29" s="99" t="s">
        <v>43</v>
      </c>
      <c r="B29" s="231"/>
      <c r="C29" s="225"/>
    </row>
    <row r="30" spans="1:4" ht="26" x14ac:dyDescent="0.3">
      <c r="A30" s="114" t="s">
        <v>44</v>
      </c>
      <c r="B30" s="230">
        <v>0.46</v>
      </c>
      <c r="C30" s="225" t="s">
        <v>5</v>
      </c>
    </row>
    <row r="31" spans="1:4" x14ac:dyDescent="0.3">
      <c r="A31" s="112" t="s">
        <v>45</v>
      </c>
      <c r="B31" s="397">
        <v>18.8</v>
      </c>
      <c r="C31" s="225" t="s">
        <v>5</v>
      </c>
    </row>
    <row r="32" spans="1:4" x14ac:dyDescent="0.3">
      <c r="A32" s="225" t="s">
        <v>46</v>
      </c>
      <c r="B32" s="230">
        <v>32.4</v>
      </c>
      <c r="C32" s="232" t="s">
        <v>5</v>
      </c>
    </row>
    <row r="33" spans="1:3" ht="39" x14ac:dyDescent="0.3">
      <c r="A33" s="112" t="s">
        <v>47</v>
      </c>
      <c r="B33" s="397">
        <f>16.78+11.21+7.04+3.46+1.67+1.67+7.31</f>
        <v>49.140000000000008</v>
      </c>
      <c r="C33" s="232" t="s">
        <v>48</v>
      </c>
    </row>
    <row r="34" spans="1:3" x14ac:dyDescent="0.3">
      <c r="A34" s="112" t="s">
        <v>49</v>
      </c>
      <c r="B34" s="230">
        <v>35</v>
      </c>
      <c r="C34" s="232" t="s">
        <v>5</v>
      </c>
    </row>
    <row r="35" spans="1:3" s="325" customFormat="1" x14ac:dyDescent="0.3">
      <c r="A35" s="324" t="s">
        <v>50</v>
      </c>
      <c r="B35" s="398">
        <v>1505</v>
      </c>
      <c r="C35" s="329" t="s">
        <v>51</v>
      </c>
    </row>
    <row r="36" spans="1:3" s="325" customFormat="1" x14ac:dyDescent="0.3">
      <c r="A36" s="324" t="s">
        <v>52</v>
      </c>
      <c r="B36" s="398">
        <f>B35*12</f>
        <v>18060</v>
      </c>
      <c r="C36" s="329" t="s">
        <v>53</v>
      </c>
    </row>
    <row r="37" spans="1:3" s="325" customFormat="1" x14ac:dyDescent="0.3">
      <c r="A37" s="324" t="s">
        <v>54</v>
      </c>
      <c r="B37" s="227">
        <v>24</v>
      </c>
      <c r="C37" s="329" t="s">
        <v>51</v>
      </c>
    </row>
    <row r="38" spans="1:3" x14ac:dyDescent="0.3">
      <c r="A38" s="99" t="s">
        <v>55</v>
      </c>
      <c r="B38" s="231"/>
      <c r="C38" s="225"/>
    </row>
    <row r="39" spans="1:3" x14ac:dyDescent="0.3">
      <c r="A39" s="112" t="s">
        <v>56</v>
      </c>
      <c r="B39" s="233">
        <v>4800</v>
      </c>
      <c r="C39" s="225" t="s">
        <v>5</v>
      </c>
    </row>
    <row r="40" spans="1:3" x14ac:dyDescent="0.3">
      <c r="A40" s="225" t="s">
        <v>57</v>
      </c>
      <c r="B40" s="233">
        <v>4000</v>
      </c>
      <c r="C40" s="225" t="s">
        <v>5</v>
      </c>
    </row>
    <row r="41" spans="1:3" x14ac:dyDescent="0.3">
      <c r="A41" s="225" t="s">
        <v>58</v>
      </c>
      <c r="B41" s="233">
        <v>78500</v>
      </c>
      <c r="C41" s="225" t="s">
        <v>5</v>
      </c>
    </row>
    <row r="42" spans="1:3" x14ac:dyDescent="0.3">
      <c r="A42" s="225" t="s">
        <v>59</v>
      </c>
      <c r="B42" s="233">
        <v>153700</v>
      </c>
      <c r="C42" s="225" t="s">
        <v>5</v>
      </c>
    </row>
    <row r="43" spans="1:3" x14ac:dyDescent="0.3">
      <c r="A43" s="225" t="s">
        <v>60</v>
      </c>
      <c r="B43" s="233">
        <v>564300</v>
      </c>
      <c r="C43" s="225" t="s">
        <v>5</v>
      </c>
    </row>
    <row r="44" spans="1:3" x14ac:dyDescent="0.3">
      <c r="A44" s="225" t="s">
        <v>61</v>
      </c>
      <c r="B44" s="233">
        <v>11800000</v>
      </c>
      <c r="C44" s="225" t="s">
        <v>5</v>
      </c>
    </row>
    <row r="45" spans="1:3" x14ac:dyDescent="0.3">
      <c r="A45" s="225" t="s">
        <v>62</v>
      </c>
      <c r="B45" s="233">
        <v>213900</v>
      </c>
      <c r="C45" s="225" t="s">
        <v>5</v>
      </c>
    </row>
    <row r="46" spans="1:3" x14ac:dyDescent="0.3">
      <c r="A46" s="225" t="s">
        <v>63</v>
      </c>
      <c r="B46" s="233">
        <v>162600</v>
      </c>
      <c r="C46" s="225" t="s">
        <v>5</v>
      </c>
    </row>
    <row r="47" spans="1:3" x14ac:dyDescent="0.3">
      <c r="A47" s="225" t="s">
        <v>64</v>
      </c>
      <c r="B47" s="233">
        <v>307800</v>
      </c>
      <c r="C47" s="225" t="s">
        <v>5</v>
      </c>
    </row>
    <row r="48" spans="1:3" x14ac:dyDescent="0.3">
      <c r="A48" s="225" t="s">
        <v>65</v>
      </c>
      <c r="B48" s="233">
        <v>13046800</v>
      </c>
      <c r="C48" s="225" t="s">
        <v>5</v>
      </c>
    </row>
    <row r="49" spans="1:3" ht="14.25" customHeight="1" x14ac:dyDescent="0.3">
      <c r="A49" s="225" t="s">
        <v>66</v>
      </c>
      <c r="B49" s="348">
        <v>8082</v>
      </c>
      <c r="C49" s="225" t="s">
        <v>67</v>
      </c>
    </row>
    <row r="50" spans="1:3" ht="14.25" customHeight="1" x14ac:dyDescent="0.3">
      <c r="A50" s="225" t="s">
        <v>68</v>
      </c>
      <c r="B50" s="336">
        <v>0.11</v>
      </c>
      <c r="C50" s="225" t="s">
        <v>5</v>
      </c>
    </row>
    <row r="51" spans="1:3" x14ac:dyDescent="0.3">
      <c r="A51" s="225" t="s">
        <v>69</v>
      </c>
      <c r="B51" s="225">
        <v>7.2</v>
      </c>
      <c r="C51" s="225" t="s">
        <v>5</v>
      </c>
    </row>
    <row r="52" spans="1:3" x14ac:dyDescent="0.3">
      <c r="A52" s="225" t="s">
        <v>70</v>
      </c>
      <c r="B52" s="225">
        <v>6.42</v>
      </c>
      <c r="C52" s="225" t="s">
        <v>5</v>
      </c>
    </row>
    <row r="53" spans="1:3" x14ac:dyDescent="0.3">
      <c r="A53" s="225" t="s">
        <v>71</v>
      </c>
      <c r="B53" s="225">
        <v>6</v>
      </c>
      <c r="C53" s="225" t="s">
        <v>11</v>
      </c>
    </row>
    <row r="54" spans="1:3" x14ac:dyDescent="0.3">
      <c r="A54" s="225" t="s">
        <v>72</v>
      </c>
      <c r="B54" s="225">
        <v>2</v>
      </c>
      <c r="C54" s="225" t="s">
        <v>11</v>
      </c>
    </row>
    <row r="55" spans="1:3" x14ac:dyDescent="0.3">
      <c r="A55" s="225" t="s">
        <v>73</v>
      </c>
      <c r="B55" s="225">
        <v>1</v>
      </c>
      <c r="C55" s="225" t="s">
        <v>11</v>
      </c>
    </row>
    <row r="56" spans="1:3" x14ac:dyDescent="0.3">
      <c r="A56" s="99" t="s">
        <v>74</v>
      </c>
      <c r="B56" s="231"/>
      <c r="C56" s="225"/>
    </row>
    <row r="57" spans="1:3" ht="26" x14ac:dyDescent="0.3">
      <c r="A57" s="232" t="s">
        <v>75</v>
      </c>
      <c r="B57" s="281">
        <f>AVERAGE(3.515,4.065)</f>
        <v>3.79</v>
      </c>
      <c r="C57" s="282" t="s">
        <v>76</v>
      </c>
    </row>
    <row r="58" spans="1:3" ht="15" x14ac:dyDescent="0.3">
      <c r="A58" s="232" t="s">
        <v>77</v>
      </c>
      <c r="B58" s="234">
        <v>2443.9299999999998</v>
      </c>
      <c r="C58" s="282" t="s">
        <v>78</v>
      </c>
    </row>
    <row r="59" spans="1:3" ht="26" x14ac:dyDescent="0.3">
      <c r="A59" s="232" t="s">
        <v>79</v>
      </c>
      <c r="B59" s="330">
        <v>30.343</v>
      </c>
      <c r="C59" s="282" t="s">
        <v>76</v>
      </c>
    </row>
    <row r="60" spans="1:3" ht="26" x14ac:dyDescent="0.3">
      <c r="A60" s="399" t="s">
        <v>80</v>
      </c>
      <c r="B60" s="330">
        <v>19.055</v>
      </c>
      <c r="C60" s="282" t="s">
        <v>76</v>
      </c>
    </row>
    <row r="61" spans="1:3" ht="26" x14ac:dyDescent="0.3">
      <c r="A61" s="225" t="s">
        <v>81</v>
      </c>
      <c r="B61" s="225">
        <v>1.093</v>
      </c>
      <c r="C61" s="282" t="s">
        <v>76</v>
      </c>
    </row>
  </sheetData>
  <sheetProtection algorithmName="SHA-512" hashValue="a4BiyYv0H/oqhR626pYy7LoHwjVbthZO8OZMN2Piwp3uneRDPPEfz/Wi/jBylIg+zXBHly6T1x3p+kZECD3lZA==" saltValue="oMh2Tys9omy9FgeXO+0SPQ==" spinCount="100000" sheet="1" objects="1" scenarios="1"/>
  <hyperlinks>
    <hyperlink ref="C5" r:id="rId1" xr:uid="{713C7F78-2D8D-4762-964B-CBD8B2F0F40D}"/>
  </hyperlinks>
  <pageMargins left="0.7" right="0.7" top="0.75" bottom="0.75" header="0.3" footer="0.3"/>
  <pageSetup orientation="portrait" horizontalDpi="1200" verticalDpi="120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E33"/>
  <sheetViews>
    <sheetView workbookViewId="0">
      <selection activeCell="E12" sqref="E12"/>
    </sheetView>
  </sheetViews>
  <sheetFormatPr defaultColWidth="8.7265625" defaultRowHeight="14.5" x14ac:dyDescent="0.35"/>
  <cols>
    <col min="1" max="1" width="14.26953125" style="9" customWidth="1"/>
    <col min="2" max="2" width="24.26953125" customWidth="1"/>
    <col min="3" max="3" width="14.7265625" bestFit="1" customWidth="1"/>
    <col min="4" max="4" width="14.26953125" customWidth="1"/>
  </cols>
  <sheetData>
    <row r="1" spans="1:5" x14ac:dyDescent="0.35">
      <c r="A1" s="27" t="s">
        <v>858</v>
      </c>
    </row>
    <row r="2" spans="1:5" x14ac:dyDescent="0.35">
      <c r="C2" s="32"/>
      <c r="D2" s="142"/>
    </row>
    <row r="3" spans="1:5" x14ac:dyDescent="0.35">
      <c r="B3" t="s">
        <v>463</v>
      </c>
      <c r="C3">
        <f>Inputs!B6</f>
        <v>2023</v>
      </c>
      <c r="D3" s="141" t="s">
        <v>464</v>
      </c>
    </row>
    <row r="4" spans="1:5" x14ac:dyDescent="0.35">
      <c r="B4" t="s">
        <v>465</v>
      </c>
      <c r="C4">
        <f>Inputs!B7</f>
        <v>2027</v>
      </c>
      <c r="D4" s="141" t="s">
        <v>464</v>
      </c>
    </row>
    <row r="5" spans="1:5" x14ac:dyDescent="0.35">
      <c r="C5" s="32"/>
      <c r="D5" s="141"/>
    </row>
    <row r="6" spans="1:5" x14ac:dyDescent="0.35">
      <c r="C6" s="32"/>
      <c r="D6" s="141"/>
    </row>
    <row r="7" spans="1:5" x14ac:dyDescent="0.35">
      <c r="A7" s="139" t="s">
        <v>383</v>
      </c>
      <c r="B7" s="141">
        <f>Inputs!B10</f>
        <v>2021</v>
      </c>
    </row>
    <row r="8" spans="1:5" x14ac:dyDescent="0.35">
      <c r="A8" s="139" t="str">
        <f>Inputs!$A$3</f>
        <v xml:space="preserve">Discount Rate </v>
      </c>
      <c r="B8" s="140">
        <f>Inputs!$B$3</f>
        <v>7.0000000000000007E-2</v>
      </c>
      <c r="D8" s="7"/>
    </row>
    <row r="10" spans="1:5" ht="29" x14ac:dyDescent="0.35">
      <c r="A10" s="71" t="s">
        <v>144</v>
      </c>
      <c r="B10" s="125" t="s">
        <v>145</v>
      </c>
      <c r="C10" s="93" t="s">
        <v>466</v>
      </c>
      <c r="D10" s="93" t="s">
        <v>426</v>
      </c>
      <c r="E10" s="211"/>
    </row>
    <row r="11" spans="1:5" x14ac:dyDescent="0.35">
      <c r="A11" s="110">
        <f>IF((B11&gt;(Inputs!$B$7+Inputs!$B$8-0)),0,IF((B11&lt;Inputs!$B$7),0,((B11-Inputs!$B$7)+0)))</f>
        <v>0</v>
      </c>
      <c r="B11" s="50">
        <v>2022</v>
      </c>
      <c r="C11" s="338">
        <f>_xlfn.IFNA(_xlfn.XLOOKUP(B11,'Cost&amp;Schedule'!$A$20:$A$27,'Cost&amp;Schedule'!$H$20:$H$27),0)</f>
        <v>6106066.1273768665</v>
      </c>
      <c r="D11" s="72">
        <f>ROUND(C11/((1+B$8)^($B11-$B$7)),0)</f>
        <v>5706604</v>
      </c>
      <c r="E11" s="211"/>
    </row>
    <row r="12" spans="1:5" x14ac:dyDescent="0.35">
      <c r="A12" s="110">
        <f>IF((B12&gt;(Inputs!$B$7+Inputs!$B$8-0)),0,IF((B12&lt;Inputs!$B$7),0,((B12-Inputs!$B$7)+0)))</f>
        <v>0</v>
      </c>
      <c r="B12" s="50">
        <f>C3</f>
        <v>2023</v>
      </c>
      <c r="C12" s="72">
        <f>_xlfn.IFNA(_xlfn.XLOOKUP(B12,'Cost&amp;Schedule'!$A$20:$A$27,'Cost&amp;Schedule'!$H$20:$H$27),0)</f>
        <v>56092417.950158641</v>
      </c>
      <c r="D12" s="72">
        <f t="shared" ref="D12:D32" si="0">ROUND(C12/((1+B$8)^($B12-$B$7)),0)</f>
        <v>48993290</v>
      </c>
      <c r="E12" s="212"/>
    </row>
    <row r="13" spans="1:5" x14ac:dyDescent="0.35">
      <c r="A13" s="110">
        <f>IF((B13&gt;(Inputs!$B$7+Inputs!$B$8-0)),0,IF((B13&lt;Inputs!$B$7),0,((B13-Inputs!$B$7)+0)))</f>
        <v>0</v>
      </c>
      <c r="B13" s="50">
        <f>B12+1</f>
        <v>2024</v>
      </c>
      <c r="C13" s="72">
        <f>_xlfn.IFNA(_xlfn.XLOOKUP(B13,'Cost&amp;Schedule'!$A$20:$A$27,'Cost&amp;Schedule'!$H$20:$H$27),0)</f>
        <v>67416468.093601257</v>
      </c>
      <c r="D13" s="72">
        <f t="shared" si="0"/>
        <v>55031920</v>
      </c>
      <c r="E13" s="213"/>
    </row>
    <row r="14" spans="1:5" x14ac:dyDescent="0.35">
      <c r="A14" s="110">
        <f>IF((B14&gt;(Inputs!$B$7+Inputs!$B$8-0)),0,IF((B14&lt;Inputs!$B$7),0,((B14-Inputs!$B$7)+0)))</f>
        <v>0</v>
      </c>
      <c r="B14" s="50">
        <f t="shared" ref="B14:B32" si="1">B13+1</f>
        <v>2025</v>
      </c>
      <c r="C14" s="72">
        <f>_xlfn.IFNA(_xlfn.XLOOKUP(B14,'Cost&amp;Schedule'!$A$20:$A$27,'Cost&amp;Schedule'!$H$20:$H$27),0)</f>
        <v>67416468.093601257</v>
      </c>
      <c r="D14" s="72">
        <f t="shared" si="0"/>
        <v>51431701</v>
      </c>
      <c r="E14" s="213"/>
    </row>
    <row r="15" spans="1:5" x14ac:dyDescent="0.35">
      <c r="A15" s="110">
        <f>IF((B15&gt;(Inputs!$B$7+Inputs!$B$8-0)),0,IF((B15&lt;Inputs!$B$7),0,((B15-Inputs!$B$7)+0)))</f>
        <v>0</v>
      </c>
      <c r="B15" s="50">
        <f t="shared" si="1"/>
        <v>2026</v>
      </c>
      <c r="C15" s="72">
        <f>_xlfn.IFNA(_xlfn.XLOOKUP(B15,'Cost&amp;Schedule'!$A$20:$A$27,'Cost&amp;Schedule'!$H$20:$H$27),0)</f>
        <v>67416468.093601257</v>
      </c>
      <c r="D15" s="72">
        <f t="shared" si="0"/>
        <v>48067010</v>
      </c>
      <c r="E15" s="213"/>
    </row>
    <row r="16" spans="1:5" x14ac:dyDescent="0.35">
      <c r="A16" s="110">
        <f>IF((B16&gt;(Inputs!$B$7+Inputs!$B$8-0)),0,IF((B16&lt;Inputs!$B$7),0,((B16-Inputs!$B$7)+0)))</f>
        <v>0</v>
      </c>
      <c r="B16" s="50">
        <f t="shared" si="1"/>
        <v>2027</v>
      </c>
      <c r="C16" s="72">
        <f>_xlfn.IFNA(_xlfn.XLOOKUP(B16,'Cost&amp;Schedule'!$A$20:$A$27,'Cost&amp;Schedule'!$H$20:$H$27),0)</f>
        <v>47960813.073109463</v>
      </c>
      <c r="D16" s="72">
        <f t="shared" si="0"/>
        <v>31958315</v>
      </c>
      <c r="E16" s="213"/>
    </row>
    <row r="17" spans="1:5" x14ac:dyDescent="0.35">
      <c r="A17" s="110">
        <f>IF((B17&gt;(Inputs!$B$7+Inputs!$B$8-0)),0,IF((B17&lt;Inputs!$B$7),0,((B17-Inputs!$B$7)+0)))</f>
        <v>1</v>
      </c>
      <c r="B17" s="50">
        <f t="shared" si="1"/>
        <v>2028</v>
      </c>
      <c r="C17" s="72">
        <f>_xlfn.IFNA(_xlfn.XLOOKUP(B17,'Cost&amp;Schedule'!$A$20:$A$27,'Cost&amp;Schedule'!$H$20:$H$27),0)</f>
        <v>0</v>
      </c>
      <c r="D17" s="72">
        <f t="shared" si="0"/>
        <v>0</v>
      </c>
      <c r="E17" s="213"/>
    </row>
    <row r="18" spans="1:5" x14ac:dyDescent="0.35">
      <c r="A18" s="110">
        <f>IF((B18&gt;(Inputs!$B$7+Inputs!$B$8-0)),0,IF((B18&lt;Inputs!$B$7),0,((B18-Inputs!$B$7)+0)))</f>
        <v>2</v>
      </c>
      <c r="B18" s="50">
        <f t="shared" si="1"/>
        <v>2029</v>
      </c>
      <c r="C18" s="72">
        <f>_xlfn.IFNA(_xlfn.XLOOKUP(B18,'Cost&amp;Schedule'!$A$20:$A$27,'Cost&amp;Schedule'!$H$20:$H$27),0)</f>
        <v>0</v>
      </c>
      <c r="D18" s="72">
        <f t="shared" si="0"/>
        <v>0</v>
      </c>
      <c r="E18" s="213"/>
    </row>
    <row r="19" spans="1:5" x14ac:dyDescent="0.35">
      <c r="A19" s="110">
        <f>IF((B19&gt;(Inputs!$B$7+Inputs!$B$8-0)),0,IF((B19&lt;Inputs!$B$7),0,((B19-Inputs!$B$7)+0)))</f>
        <v>3</v>
      </c>
      <c r="B19" s="50">
        <f t="shared" si="1"/>
        <v>2030</v>
      </c>
      <c r="C19" s="72">
        <f>_xlfn.IFNA(_xlfn.XLOOKUP(B19,'Cost&amp;Schedule'!$A$20:$A$27,'Cost&amp;Schedule'!$H$20:$H$27),0)</f>
        <v>0</v>
      </c>
      <c r="D19" s="72">
        <f t="shared" si="0"/>
        <v>0</v>
      </c>
      <c r="E19" s="213"/>
    </row>
    <row r="20" spans="1:5" x14ac:dyDescent="0.35">
      <c r="A20" s="110">
        <f>IF((B20&gt;(Inputs!$B$7+Inputs!$B$8-0)),0,IF((B20&lt;Inputs!$B$7),0,((B20-Inputs!$B$7)+0)))</f>
        <v>4</v>
      </c>
      <c r="B20" s="50">
        <f t="shared" si="1"/>
        <v>2031</v>
      </c>
      <c r="C20" s="72">
        <f>_xlfn.IFNA(_xlfn.XLOOKUP(B20,'Cost&amp;Schedule'!$A$20:$A$27,'Cost&amp;Schedule'!$H$20:$H$27),0)</f>
        <v>0</v>
      </c>
      <c r="D20" s="72">
        <f t="shared" si="0"/>
        <v>0</v>
      </c>
      <c r="E20" s="213"/>
    </row>
    <row r="21" spans="1:5" x14ac:dyDescent="0.35">
      <c r="A21" s="110">
        <f>IF((B21&gt;(Inputs!$B$7+Inputs!$B$8-0)),0,IF((B21&lt;Inputs!$B$7),0,((B21-Inputs!$B$7)+0)))</f>
        <v>5</v>
      </c>
      <c r="B21" s="50">
        <f t="shared" si="1"/>
        <v>2032</v>
      </c>
      <c r="C21" s="72">
        <f>_xlfn.IFNA(_xlfn.XLOOKUP(B21,'Cost&amp;Schedule'!$A$20:$A$27,'Cost&amp;Schedule'!$H$20:$H$27),0)</f>
        <v>0</v>
      </c>
      <c r="D21" s="72">
        <f t="shared" si="0"/>
        <v>0</v>
      </c>
      <c r="E21" s="213"/>
    </row>
    <row r="22" spans="1:5" x14ac:dyDescent="0.35">
      <c r="A22" s="110">
        <f>IF((B22&gt;(Inputs!$B$7+Inputs!$B$8-0)),0,IF((B22&lt;Inputs!$B$7),0,((B22-Inputs!$B$7)+0)))</f>
        <v>6</v>
      </c>
      <c r="B22" s="50">
        <f t="shared" si="1"/>
        <v>2033</v>
      </c>
      <c r="C22" s="72">
        <f>_xlfn.IFNA(_xlfn.XLOOKUP(B22,'Cost&amp;Schedule'!$A$20:$A$27,'Cost&amp;Schedule'!$H$20:$H$27),0)</f>
        <v>0</v>
      </c>
      <c r="D22" s="72">
        <f t="shared" si="0"/>
        <v>0</v>
      </c>
      <c r="E22" s="213"/>
    </row>
    <row r="23" spans="1:5" x14ac:dyDescent="0.35">
      <c r="A23" s="110">
        <f>IF((B23&gt;(Inputs!$B$7+Inputs!$B$8-0)),0,IF((B23&lt;Inputs!$B$7),0,((B23-Inputs!$B$7)+0)))</f>
        <v>7</v>
      </c>
      <c r="B23" s="50">
        <f t="shared" si="1"/>
        <v>2034</v>
      </c>
      <c r="C23" s="72">
        <f>_xlfn.IFNA(_xlfn.XLOOKUP(B23,'Cost&amp;Schedule'!$A$20:$A$27,'Cost&amp;Schedule'!$H$20:$H$27),0)</f>
        <v>0</v>
      </c>
      <c r="D23" s="72">
        <f t="shared" si="0"/>
        <v>0</v>
      </c>
      <c r="E23" s="213"/>
    </row>
    <row r="24" spans="1:5" x14ac:dyDescent="0.35">
      <c r="A24" s="110">
        <f>IF((B24&gt;(Inputs!$B$7+Inputs!$B$8-0)),0,IF((B24&lt;Inputs!$B$7),0,((B24-Inputs!$B$7)+0)))</f>
        <v>8</v>
      </c>
      <c r="B24" s="50">
        <f t="shared" si="1"/>
        <v>2035</v>
      </c>
      <c r="C24" s="72">
        <f>_xlfn.IFNA(_xlfn.XLOOKUP(B24,'Cost&amp;Schedule'!$A$20:$A$27,'Cost&amp;Schedule'!$H$20:$H$27),0)</f>
        <v>0</v>
      </c>
      <c r="D24" s="72">
        <f t="shared" si="0"/>
        <v>0</v>
      </c>
      <c r="E24" s="213"/>
    </row>
    <row r="25" spans="1:5" x14ac:dyDescent="0.35">
      <c r="A25" s="110">
        <f>IF((B25&gt;(Inputs!$B$7+Inputs!$B$8-0)),0,IF((B25&lt;Inputs!$B$7),0,((B25-Inputs!$B$7)+0)))</f>
        <v>9</v>
      </c>
      <c r="B25" s="50">
        <f t="shared" si="1"/>
        <v>2036</v>
      </c>
      <c r="C25" s="72">
        <f>_xlfn.IFNA(_xlfn.XLOOKUP(B25,'Cost&amp;Schedule'!$A$20:$A$27,'Cost&amp;Schedule'!$H$20:$H$27),0)</f>
        <v>0</v>
      </c>
      <c r="D25" s="72">
        <f t="shared" si="0"/>
        <v>0</v>
      </c>
      <c r="E25" s="213"/>
    </row>
    <row r="26" spans="1:5" x14ac:dyDescent="0.35">
      <c r="A26" s="110">
        <f>IF((B26&gt;(Inputs!$B$7+Inputs!$B$8-0)),0,IF((B26&lt;Inputs!$B$7),0,((B26-Inputs!$B$7)+0)))</f>
        <v>10</v>
      </c>
      <c r="B26" s="50">
        <f t="shared" si="1"/>
        <v>2037</v>
      </c>
      <c r="C26" s="72">
        <f>_xlfn.IFNA(_xlfn.XLOOKUP(B26,'Cost&amp;Schedule'!$A$20:$A$27,'Cost&amp;Schedule'!$H$20:$H$27),0)</f>
        <v>0</v>
      </c>
      <c r="D26" s="72">
        <f t="shared" si="0"/>
        <v>0</v>
      </c>
      <c r="E26" s="213"/>
    </row>
    <row r="27" spans="1:5" x14ac:dyDescent="0.35">
      <c r="A27" s="110">
        <f>IF((B27&gt;(Inputs!$B$7+Inputs!$B$8-0)),0,IF((B27&lt;Inputs!$B$7),0,((B27-Inputs!$B$7)+0)))</f>
        <v>11</v>
      </c>
      <c r="B27" s="50">
        <f t="shared" si="1"/>
        <v>2038</v>
      </c>
      <c r="C27" s="72">
        <f>_xlfn.IFNA(_xlfn.XLOOKUP(B27,'Cost&amp;Schedule'!$A$20:$A$27,'Cost&amp;Schedule'!$H$20:$H$27),0)</f>
        <v>0</v>
      </c>
      <c r="D27" s="72">
        <f t="shared" si="0"/>
        <v>0</v>
      </c>
      <c r="E27" s="213"/>
    </row>
    <row r="28" spans="1:5" x14ac:dyDescent="0.35">
      <c r="A28" s="110">
        <f>IF((B28&gt;(Inputs!$B$7+Inputs!$B$8-0)),0,IF((B28&lt;Inputs!$B$7),0,((B28-Inputs!$B$7)+0)))</f>
        <v>12</v>
      </c>
      <c r="B28" s="50">
        <f t="shared" si="1"/>
        <v>2039</v>
      </c>
      <c r="C28" s="72">
        <f>_xlfn.IFNA(_xlfn.XLOOKUP(B28,'Cost&amp;Schedule'!$A$20:$A$27,'Cost&amp;Schedule'!$H$20:$H$27),0)</f>
        <v>0</v>
      </c>
      <c r="D28" s="72">
        <f t="shared" si="0"/>
        <v>0</v>
      </c>
      <c r="E28" s="213"/>
    </row>
    <row r="29" spans="1:5" x14ac:dyDescent="0.35">
      <c r="A29" s="110">
        <f>IF((B29&gt;(Inputs!$B$7+Inputs!$B$8-0)),0,IF((B29&lt;Inputs!$B$7),0,((B29-Inputs!$B$7)+0)))</f>
        <v>13</v>
      </c>
      <c r="B29" s="50">
        <f t="shared" si="1"/>
        <v>2040</v>
      </c>
      <c r="C29" s="72">
        <f>_xlfn.IFNA(_xlfn.XLOOKUP(B29,'Cost&amp;Schedule'!$A$20:$A$27,'Cost&amp;Schedule'!$H$20:$H$27),0)</f>
        <v>0</v>
      </c>
      <c r="D29" s="72">
        <f t="shared" si="0"/>
        <v>0</v>
      </c>
      <c r="E29" s="213"/>
    </row>
    <row r="30" spans="1:5" x14ac:dyDescent="0.35">
      <c r="A30" s="110">
        <f>IF((B30&gt;(Inputs!$B$7+Inputs!$B$8-0)),0,IF((B30&lt;Inputs!$B$7),0,((B30-Inputs!$B$7)+0)))</f>
        <v>14</v>
      </c>
      <c r="B30" s="50">
        <f t="shared" si="1"/>
        <v>2041</v>
      </c>
      <c r="C30" s="72">
        <f>_xlfn.IFNA(_xlfn.XLOOKUP(B30,'Cost&amp;Schedule'!$A$20:$A$27,'Cost&amp;Schedule'!$H$20:$H$27),0)</f>
        <v>0</v>
      </c>
      <c r="D30" s="72">
        <f t="shared" si="0"/>
        <v>0</v>
      </c>
      <c r="E30" s="213"/>
    </row>
    <row r="31" spans="1:5" x14ac:dyDescent="0.35">
      <c r="A31" s="110">
        <f>IF((B31&gt;(Inputs!$B$7+Inputs!$B$8-0)),0,IF((B31&lt;Inputs!$B$7),0,((B31-Inputs!$B$7)+0)))</f>
        <v>15</v>
      </c>
      <c r="B31" s="50">
        <f t="shared" si="1"/>
        <v>2042</v>
      </c>
      <c r="C31" s="72">
        <f>_xlfn.IFNA(_xlfn.XLOOKUP(B31,'Cost&amp;Schedule'!$A$20:$A$27,'Cost&amp;Schedule'!$H$20:$H$27),0)</f>
        <v>0</v>
      </c>
      <c r="D31" s="72">
        <f t="shared" si="0"/>
        <v>0</v>
      </c>
      <c r="E31" s="213"/>
    </row>
    <row r="32" spans="1:5" x14ac:dyDescent="0.35">
      <c r="A32" s="110">
        <f>IF((B32&gt;(Inputs!$B$7+Inputs!$B$8-0)),0,IF((B32&lt;Inputs!$B$7),0,((B32-Inputs!$B$7)+0)))</f>
        <v>16</v>
      </c>
      <c r="B32" s="50">
        <f t="shared" si="1"/>
        <v>2043</v>
      </c>
      <c r="C32" s="72">
        <f>_xlfn.IFNA(_xlfn.XLOOKUP(B32,'Cost&amp;Schedule'!$A$20:$A$27,'Cost&amp;Schedule'!$H$20:$H$27),0)</f>
        <v>0</v>
      </c>
      <c r="D32" s="72">
        <f t="shared" si="0"/>
        <v>0</v>
      </c>
      <c r="E32" s="213"/>
    </row>
    <row r="33" spans="1:5" x14ac:dyDescent="0.35">
      <c r="A33" s="52"/>
      <c r="B33" s="50" t="s">
        <v>176</v>
      </c>
      <c r="C33" s="94">
        <f>SUM(C11:C32)</f>
        <v>312408701.43144876</v>
      </c>
      <c r="D33" s="94">
        <f>SUM(D11:D32)</f>
        <v>241188840</v>
      </c>
      <c r="E33" s="214"/>
    </row>
  </sheetData>
  <sheetProtection algorithmName="SHA-512" hashValue="GBDuRw5rAUt4ctQfGe0thBgsmJqtNXsO8A8R8xY/Z1p1oNusSExmvDbmEeV/wnng9zNLFPiI86A/YzfFTiXbbg==" saltValue="0ZxPGEZMz9s+FC3vCpFOQQ==" spinCount="100000" sheet="1" objects="1" scenarios="1"/>
  <phoneticPr fontId="51" type="noConversion"/>
  <pageMargins left="0.7" right="0.7" top="0.75" bottom="0.75" header="0.3" footer="0.3"/>
  <pageSetup paperSize="35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L34"/>
  <sheetViews>
    <sheetView workbookViewId="0">
      <selection activeCell="E12" sqref="E12"/>
    </sheetView>
  </sheetViews>
  <sheetFormatPr defaultColWidth="8.7265625" defaultRowHeight="14.5" x14ac:dyDescent="0.35"/>
  <cols>
    <col min="1" max="1" width="7.453125" customWidth="1"/>
    <col min="2" max="2" width="27.26953125" customWidth="1"/>
    <col min="3" max="3" width="14.7265625" bestFit="1" customWidth="1"/>
    <col min="4" max="7" width="14.7265625" customWidth="1"/>
    <col min="8" max="8" width="12.54296875" bestFit="1" customWidth="1"/>
    <col min="9" max="9" width="43.7265625" customWidth="1"/>
    <col min="11" max="11" width="12" customWidth="1"/>
    <col min="12" max="12" width="11.453125" customWidth="1"/>
  </cols>
  <sheetData>
    <row r="1" spans="1:12" x14ac:dyDescent="0.35">
      <c r="A1" s="5" t="s">
        <v>468</v>
      </c>
      <c r="I1" s="5" t="s">
        <v>467</v>
      </c>
    </row>
    <row r="2" spans="1:12" x14ac:dyDescent="0.35">
      <c r="A2" s="5"/>
      <c r="C2" s="5"/>
      <c r="D2" s="5"/>
      <c r="E2" s="5"/>
      <c r="F2" s="5"/>
      <c r="G2" s="5"/>
      <c r="H2" s="5"/>
      <c r="I2" t="s">
        <v>469</v>
      </c>
      <c r="J2" t="s">
        <v>470</v>
      </c>
      <c r="K2" s="9" t="s">
        <v>471</v>
      </c>
      <c r="L2" s="9" t="s">
        <v>378</v>
      </c>
    </row>
    <row r="3" spans="1:12" x14ac:dyDescent="0.35">
      <c r="A3" t="s">
        <v>473</v>
      </c>
      <c r="C3" s="315">
        <f>50000*Deflator!$C$90/Deflator!$C$91</f>
        <v>48118.852459016387</v>
      </c>
      <c r="D3" s="315"/>
      <c r="E3" s="5"/>
      <c r="F3" s="5"/>
      <c r="G3" s="32"/>
      <c r="I3" t="s">
        <v>472</v>
      </c>
      <c r="J3">
        <v>15</v>
      </c>
      <c r="K3" s="124">
        <v>7661078</v>
      </c>
      <c r="L3" s="45">
        <f>K3*(Deflator!$D$90/Deflator!$D$91)</f>
        <v>7291877.0254551442</v>
      </c>
    </row>
    <row r="4" spans="1:12" x14ac:dyDescent="0.35">
      <c r="A4" t="s">
        <v>475</v>
      </c>
      <c r="C4" s="315">
        <f>80000*Deflator!$C$90/Deflator!$C$91</f>
        <v>76990.163934426237</v>
      </c>
      <c r="D4" s="315"/>
      <c r="E4" s="5"/>
      <c r="F4" s="5"/>
      <c r="G4" s="32"/>
      <c r="I4" t="s">
        <v>474</v>
      </c>
      <c r="J4">
        <v>50</v>
      </c>
      <c r="K4" s="124">
        <v>1934714</v>
      </c>
      <c r="L4" s="45">
        <f>K4*(Deflator!$D$90/Deflator!$D$91)</f>
        <v>1841476.6913254799</v>
      </c>
    </row>
    <row r="5" spans="1:12" x14ac:dyDescent="0.35">
      <c r="A5" t="s">
        <v>477</v>
      </c>
      <c r="C5" s="32">
        <f>C3-C4</f>
        <v>-28871.31147540985</v>
      </c>
      <c r="D5" s="32"/>
      <c r="E5" s="5"/>
      <c r="F5" s="5"/>
      <c r="G5" s="32"/>
      <c r="I5" t="s">
        <v>476</v>
      </c>
      <c r="J5">
        <v>20</v>
      </c>
      <c r="K5" s="124">
        <v>130968</v>
      </c>
      <c r="L5" s="45">
        <f>K5*(Deflator!$D$90/Deflator!$D$91)</f>
        <v>124656.41914490485</v>
      </c>
    </row>
    <row r="6" spans="1:12" x14ac:dyDescent="0.35">
      <c r="A6" t="s">
        <v>479</v>
      </c>
      <c r="C6" s="32">
        <f>3000000*Deflator!$C$90/Deflator!$C$91</f>
        <v>2887131.1475409833</v>
      </c>
      <c r="D6" s="32"/>
      <c r="E6" s="32"/>
      <c r="F6" s="32"/>
      <c r="G6" s="32"/>
      <c r="I6" t="s">
        <v>478</v>
      </c>
      <c r="J6">
        <v>75</v>
      </c>
      <c r="K6" s="124">
        <v>1000000</v>
      </c>
      <c r="L6" s="45">
        <f>K6*(Deflator!$D$90/Deflator!$D$91)</f>
        <v>951808.22143504408</v>
      </c>
    </row>
    <row r="8" spans="1:12" x14ac:dyDescent="0.35">
      <c r="B8" t="s">
        <v>383</v>
      </c>
      <c r="C8">
        <f>Inputs!$B$10</f>
        <v>2021</v>
      </c>
    </row>
    <row r="9" spans="1:12" x14ac:dyDescent="0.35">
      <c r="A9" s="9"/>
      <c r="H9" s="7">
        <f>Inputs!$B$3</f>
        <v>7.0000000000000007E-2</v>
      </c>
    </row>
    <row r="10" spans="1:12" ht="37.5" customHeight="1" x14ac:dyDescent="0.35">
      <c r="A10" s="29" t="s">
        <v>144</v>
      </c>
      <c r="B10" s="5" t="s">
        <v>145</v>
      </c>
      <c r="C10" s="93" t="s">
        <v>480</v>
      </c>
      <c r="D10" s="93" t="s">
        <v>481</v>
      </c>
      <c r="E10" s="93" t="s">
        <v>482</v>
      </c>
      <c r="F10" s="93" t="s">
        <v>483</v>
      </c>
      <c r="G10" s="93" t="s">
        <v>484</v>
      </c>
      <c r="H10" s="93" t="s">
        <v>426</v>
      </c>
    </row>
    <row r="11" spans="1:12" x14ac:dyDescent="0.35">
      <c r="A11" s="110">
        <v>0</v>
      </c>
      <c r="B11" s="206">
        <v>2025</v>
      </c>
      <c r="C11" s="96">
        <f>SUM(L3:L6)+C3</f>
        <v>10257937.209819589</v>
      </c>
      <c r="D11" s="72">
        <f t="shared" ref="D11:D33" si="0">ROUND(C11/((1+H$9)^($B11-C$8)),0)</f>
        <v>7825731</v>
      </c>
      <c r="E11" s="96"/>
      <c r="F11" s="96">
        <f t="shared" ref="F11:F33" si="1">ROUND(E11/((1+H$9)^($B11-C$8)),0)</f>
        <v>0</v>
      </c>
      <c r="G11" s="96">
        <f>C11-E11</f>
        <v>10257937.209819589</v>
      </c>
      <c r="H11" s="72">
        <f>ROUND(G11/((1+H$9)^($B11-C$8)),0)</f>
        <v>7825731</v>
      </c>
      <c r="I11" s="68"/>
    </row>
    <row r="12" spans="1:12" x14ac:dyDescent="0.35">
      <c r="A12" s="110">
        <f>IF((B12&gt;(Inputs!$B$7+Inputs!$B$8-0)),0,IF((B12&lt;Inputs!$B$7),0,((B12-Inputs!$B$7)+0)))</f>
        <v>0</v>
      </c>
      <c r="B12" s="100">
        <f>B11+1</f>
        <v>2026</v>
      </c>
      <c r="C12" s="96"/>
      <c r="D12" s="72">
        <f t="shared" si="0"/>
        <v>0</v>
      </c>
      <c r="E12" s="96"/>
      <c r="F12" s="96">
        <f t="shared" si="1"/>
        <v>0</v>
      </c>
      <c r="G12" s="96">
        <f t="shared" ref="G12:G13" si="2">C12-E12</f>
        <v>0</v>
      </c>
      <c r="H12" s="72">
        <f t="shared" ref="H12:H13" si="3">ROUND(G12/((1+H$9)^($B12-C$8)),0)</f>
        <v>0</v>
      </c>
    </row>
    <row r="13" spans="1:12" x14ac:dyDescent="0.35">
      <c r="A13" s="110">
        <f>IF((B13&gt;(Inputs!$B$7+Inputs!$B$8-0)),0,IF((B13&lt;Inputs!$B$7),0,((B13-Inputs!$B$7)+0)))</f>
        <v>0</v>
      </c>
      <c r="B13" s="100">
        <f t="shared" ref="B13:B30" si="4">B12+1</f>
        <v>2027</v>
      </c>
      <c r="C13" s="96"/>
      <c r="D13" s="72">
        <f t="shared" si="0"/>
        <v>0</v>
      </c>
      <c r="E13" s="96"/>
      <c r="F13" s="96">
        <f t="shared" si="1"/>
        <v>0</v>
      </c>
      <c r="G13" s="96">
        <f t="shared" si="2"/>
        <v>0</v>
      </c>
      <c r="H13" s="72">
        <f t="shared" si="3"/>
        <v>0</v>
      </c>
    </row>
    <row r="14" spans="1:12" x14ac:dyDescent="0.35">
      <c r="A14" s="110">
        <f>IF((B14&gt;(Inputs!$B$7+Inputs!$B$8-0)),0,IF((B14&lt;Inputs!$B$7),0,((B14-Inputs!$B$7)+0)))</f>
        <v>1</v>
      </c>
      <c r="B14" s="100">
        <f t="shared" si="4"/>
        <v>2028</v>
      </c>
      <c r="C14" s="96">
        <f t="shared" ref="C14:C33" si="5">$C$3</f>
        <v>48118.852459016387</v>
      </c>
      <c r="D14" s="72">
        <f t="shared" si="0"/>
        <v>29966</v>
      </c>
      <c r="E14" s="96">
        <f t="shared" ref="E14:E33" si="6">$C$4</f>
        <v>76990.163934426237</v>
      </c>
      <c r="F14" s="96">
        <f t="shared" si="1"/>
        <v>47946</v>
      </c>
      <c r="G14" s="96">
        <f t="shared" ref="G14:G33" si="7">C14-E14</f>
        <v>-28871.31147540985</v>
      </c>
      <c r="H14" s="72">
        <f t="shared" ref="H14:H33" si="8">ROUND(G14/((1+H$9)^($B14-C$8)),0)</f>
        <v>-17980</v>
      </c>
    </row>
    <row r="15" spans="1:12" x14ac:dyDescent="0.35">
      <c r="A15" s="110">
        <f>IF((B15&gt;(Inputs!$B$7+Inputs!$B$8-0)),0,IF((B15&lt;Inputs!$B$7),0,((B15-Inputs!$B$7)+0)))</f>
        <v>2</v>
      </c>
      <c r="B15" s="100">
        <f t="shared" si="4"/>
        <v>2029</v>
      </c>
      <c r="C15" s="96">
        <f t="shared" si="5"/>
        <v>48118.852459016387</v>
      </c>
      <c r="D15" s="72">
        <f t="shared" si="0"/>
        <v>28006</v>
      </c>
      <c r="E15" s="96">
        <f t="shared" si="6"/>
        <v>76990.163934426237</v>
      </c>
      <c r="F15" s="96">
        <f t="shared" si="1"/>
        <v>44809</v>
      </c>
      <c r="G15" s="96">
        <f t="shared" si="7"/>
        <v>-28871.31147540985</v>
      </c>
      <c r="H15" s="72">
        <f t="shared" si="8"/>
        <v>-16803</v>
      </c>
    </row>
    <row r="16" spans="1:12" x14ac:dyDescent="0.35">
      <c r="A16" s="110">
        <f>IF((B16&gt;(Inputs!$B$7+Inputs!$B$8-0)),0,IF((B16&lt;Inputs!$B$7),0,((B16-Inputs!$B$7)+0)))</f>
        <v>3</v>
      </c>
      <c r="B16" s="100">
        <f t="shared" si="4"/>
        <v>2030</v>
      </c>
      <c r="C16" s="96">
        <f t="shared" si="5"/>
        <v>48118.852459016387</v>
      </c>
      <c r="D16" s="72">
        <f t="shared" si="0"/>
        <v>26173</v>
      </c>
      <c r="E16" s="96">
        <f t="shared" si="6"/>
        <v>76990.163934426237</v>
      </c>
      <c r="F16" s="96">
        <f t="shared" si="1"/>
        <v>41878</v>
      </c>
      <c r="G16" s="96">
        <f t="shared" si="7"/>
        <v>-28871.31147540985</v>
      </c>
      <c r="H16" s="72">
        <f t="shared" si="8"/>
        <v>-15704</v>
      </c>
    </row>
    <row r="17" spans="1:9" x14ac:dyDescent="0.35">
      <c r="A17" s="110">
        <f>IF((B17&gt;(Inputs!$B$7+Inputs!$B$8-0)),0,IF((B17&lt;Inputs!$B$7),0,((B17-Inputs!$B$7)+0)))</f>
        <v>4</v>
      </c>
      <c r="B17" s="100">
        <f t="shared" si="4"/>
        <v>2031</v>
      </c>
      <c r="C17" s="96">
        <f t="shared" si="5"/>
        <v>48118.852459016387</v>
      </c>
      <c r="D17" s="72">
        <f t="shared" si="0"/>
        <v>24461</v>
      </c>
      <c r="E17" s="96">
        <f t="shared" si="6"/>
        <v>76990.163934426237</v>
      </c>
      <c r="F17" s="96">
        <f t="shared" si="1"/>
        <v>39138</v>
      </c>
      <c r="G17" s="96">
        <f t="shared" si="7"/>
        <v>-28871.31147540985</v>
      </c>
      <c r="H17" s="72">
        <f t="shared" si="8"/>
        <v>-14677</v>
      </c>
    </row>
    <row r="18" spans="1:9" x14ac:dyDescent="0.35">
      <c r="A18" s="110">
        <f>IF((B18&gt;(Inputs!$B$7+Inputs!$B$8-0)),0,IF((B18&lt;Inputs!$B$7),0,((B18-Inputs!$B$7)+0)))</f>
        <v>5</v>
      </c>
      <c r="B18" s="100">
        <f t="shared" si="4"/>
        <v>2032</v>
      </c>
      <c r="C18" s="96">
        <f t="shared" si="5"/>
        <v>48118.852459016387</v>
      </c>
      <c r="D18" s="72">
        <f t="shared" si="0"/>
        <v>22861</v>
      </c>
      <c r="E18" s="96">
        <f t="shared" si="6"/>
        <v>76990.163934426237</v>
      </c>
      <c r="F18" s="96">
        <f t="shared" si="1"/>
        <v>36577</v>
      </c>
      <c r="G18" s="96">
        <f t="shared" si="7"/>
        <v>-28871.31147540985</v>
      </c>
      <c r="H18" s="72">
        <f t="shared" si="8"/>
        <v>-13717</v>
      </c>
    </row>
    <row r="19" spans="1:9" x14ac:dyDescent="0.35">
      <c r="A19" s="110">
        <f>IF((B19&gt;(Inputs!$B$7+Inputs!$B$8-0)),0,IF((B19&lt;Inputs!$B$7),0,((B19-Inputs!$B$7)+0)))</f>
        <v>6</v>
      </c>
      <c r="B19" s="100">
        <f t="shared" si="4"/>
        <v>2033</v>
      </c>
      <c r="C19" s="96">
        <f t="shared" si="5"/>
        <v>48118.852459016387</v>
      </c>
      <c r="D19" s="72">
        <f t="shared" si="0"/>
        <v>21365</v>
      </c>
      <c r="E19" s="96">
        <f t="shared" si="6"/>
        <v>76990.163934426237</v>
      </c>
      <c r="F19" s="96">
        <f t="shared" si="1"/>
        <v>34185</v>
      </c>
      <c r="G19" s="96">
        <f>C19-E19</f>
        <v>-28871.31147540985</v>
      </c>
      <c r="H19" s="72">
        <f t="shared" si="8"/>
        <v>-12819</v>
      </c>
    </row>
    <row r="20" spans="1:9" x14ac:dyDescent="0.35">
      <c r="A20" s="110">
        <f>IF((B20&gt;(Inputs!$B$7+Inputs!$B$8-0)),0,IF((B20&lt;Inputs!$B$7),0,((B20-Inputs!$B$7)+0)))</f>
        <v>7</v>
      </c>
      <c r="B20" s="100">
        <f t="shared" si="4"/>
        <v>2034</v>
      </c>
      <c r="C20" s="96">
        <f t="shared" si="5"/>
        <v>48118.852459016387</v>
      </c>
      <c r="D20" s="72">
        <f t="shared" si="0"/>
        <v>19968</v>
      </c>
      <c r="E20" s="96">
        <f t="shared" si="6"/>
        <v>76990.163934426237</v>
      </c>
      <c r="F20" s="96">
        <f t="shared" si="1"/>
        <v>31948</v>
      </c>
      <c r="G20" s="96">
        <f t="shared" si="7"/>
        <v>-28871.31147540985</v>
      </c>
      <c r="H20" s="72">
        <f t="shared" si="8"/>
        <v>-11981</v>
      </c>
    </row>
    <row r="21" spans="1:9" x14ac:dyDescent="0.35">
      <c r="A21" s="110">
        <f>IF((B21&gt;(Inputs!$B$7+Inputs!$B$8-0)),0,IF((B21&lt;Inputs!$B$7),0,((B21-Inputs!$B$7)+0)))</f>
        <v>8</v>
      </c>
      <c r="B21" s="100">
        <f t="shared" si="4"/>
        <v>2035</v>
      </c>
      <c r="C21" s="96">
        <f t="shared" si="5"/>
        <v>48118.852459016387</v>
      </c>
      <c r="D21" s="72">
        <f t="shared" si="0"/>
        <v>18661</v>
      </c>
      <c r="E21" s="96">
        <f t="shared" si="6"/>
        <v>76990.163934426237</v>
      </c>
      <c r="F21" s="96">
        <f t="shared" si="1"/>
        <v>29858</v>
      </c>
      <c r="G21" s="96">
        <f t="shared" si="7"/>
        <v>-28871.31147540985</v>
      </c>
      <c r="H21" s="72">
        <f t="shared" si="8"/>
        <v>-11197</v>
      </c>
      <c r="I21" s="68"/>
    </row>
    <row r="22" spans="1:9" x14ac:dyDescent="0.35">
      <c r="A22" s="110">
        <f>IF((B22&gt;(Inputs!$B$7+Inputs!$B$8-0)),0,IF((B22&lt;Inputs!$B$7),0,((B22-Inputs!$B$7)+0)))</f>
        <v>9</v>
      </c>
      <c r="B22" s="100">
        <f t="shared" si="4"/>
        <v>2036</v>
      </c>
      <c r="C22" s="96">
        <f t="shared" si="5"/>
        <v>48118.852459016387</v>
      </c>
      <c r="D22" s="72">
        <f t="shared" si="0"/>
        <v>17440</v>
      </c>
      <c r="E22" s="96">
        <f t="shared" si="6"/>
        <v>76990.163934426237</v>
      </c>
      <c r="F22" s="96">
        <f t="shared" si="1"/>
        <v>27905</v>
      </c>
      <c r="G22" s="96">
        <f t="shared" si="7"/>
        <v>-28871.31147540985</v>
      </c>
      <c r="H22" s="72">
        <f t="shared" si="8"/>
        <v>-10464</v>
      </c>
    </row>
    <row r="23" spans="1:9" x14ac:dyDescent="0.35">
      <c r="A23" s="110">
        <f>IF((B23&gt;(Inputs!$B$7+Inputs!$B$8-0)),0,IF((B23&lt;Inputs!$B$7),0,((B23-Inputs!$B$7)+0)))</f>
        <v>10</v>
      </c>
      <c r="B23" s="100">
        <f t="shared" si="4"/>
        <v>2037</v>
      </c>
      <c r="C23" s="96">
        <f t="shared" si="5"/>
        <v>48118.852459016387</v>
      </c>
      <c r="D23" s="72">
        <f>ROUND(C23/((1+H$9)^($B23-C$8)),0)</f>
        <v>16300</v>
      </c>
      <c r="E23" s="96">
        <f t="shared" si="6"/>
        <v>76990.163934426237</v>
      </c>
      <c r="F23" s="96">
        <f t="shared" si="1"/>
        <v>26079</v>
      </c>
      <c r="G23" s="96">
        <f t="shared" si="7"/>
        <v>-28871.31147540985</v>
      </c>
      <c r="H23" s="72">
        <f t="shared" si="8"/>
        <v>-9780</v>
      </c>
    </row>
    <row r="24" spans="1:9" x14ac:dyDescent="0.35">
      <c r="A24" s="110">
        <f>IF((B24&gt;(Inputs!$B$7+Inputs!$B$8-0)),0,IF((B24&lt;Inputs!$B$7),0,((B24-Inputs!$B$7)+0)))</f>
        <v>11</v>
      </c>
      <c r="B24" s="100">
        <f t="shared" si="4"/>
        <v>2038</v>
      </c>
      <c r="C24" s="96">
        <f t="shared" si="5"/>
        <v>48118.852459016387</v>
      </c>
      <c r="D24" s="72">
        <f t="shared" si="0"/>
        <v>15233</v>
      </c>
      <c r="E24" s="96">
        <f t="shared" si="6"/>
        <v>76990.163934426237</v>
      </c>
      <c r="F24" s="96">
        <f t="shared" si="1"/>
        <v>24373</v>
      </c>
      <c r="G24" s="96">
        <f t="shared" si="7"/>
        <v>-28871.31147540985</v>
      </c>
      <c r="H24" s="72">
        <f t="shared" si="8"/>
        <v>-9140</v>
      </c>
    </row>
    <row r="25" spans="1:9" x14ac:dyDescent="0.35">
      <c r="A25" s="110">
        <f>IF((B25&gt;(Inputs!$B$7+Inputs!$B$8-0)),0,IF((B25&lt;Inputs!$B$7),0,((B25-Inputs!$B$7)+0)))</f>
        <v>12</v>
      </c>
      <c r="B25" s="100">
        <f t="shared" si="4"/>
        <v>2039</v>
      </c>
      <c r="C25" s="96">
        <f t="shared" si="5"/>
        <v>48118.852459016387</v>
      </c>
      <c r="D25" s="72">
        <f t="shared" si="0"/>
        <v>14237</v>
      </c>
      <c r="E25" s="96">
        <f t="shared" si="6"/>
        <v>76990.163934426237</v>
      </c>
      <c r="F25" s="96">
        <f t="shared" si="1"/>
        <v>22779</v>
      </c>
      <c r="G25" s="96">
        <f t="shared" si="7"/>
        <v>-28871.31147540985</v>
      </c>
      <c r="H25" s="72">
        <f t="shared" si="8"/>
        <v>-8542</v>
      </c>
    </row>
    <row r="26" spans="1:9" x14ac:dyDescent="0.35">
      <c r="A26" s="110">
        <f>IF((B26&gt;(Inputs!$B$7+Inputs!$B$8-0)),0,IF((B26&lt;Inputs!$B$7),0,((B26-Inputs!$B$7)+0)))</f>
        <v>13</v>
      </c>
      <c r="B26" s="100">
        <f t="shared" si="4"/>
        <v>2040</v>
      </c>
      <c r="C26" s="96">
        <f>SUM(L3)+C3</f>
        <v>7339995.8779141605</v>
      </c>
      <c r="D26" s="72">
        <f t="shared" si="0"/>
        <v>2029570</v>
      </c>
      <c r="E26" s="96">
        <f>$C$4+C6</f>
        <v>2964121.3114754097</v>
      </c>
      <c r="F26" s="96">
        <f t="shared" si="1"/>
        <v>819604</v>
      </c>
      <c r="G26" s="96">
        <f t="shared" si="7"/>
        <v>4375874.5664387513</v>
      </c>
      <c r="H26" s="72">
        <f t="shared" si="8"/>
        <v>1209966</v>
      </c>
    </row>
    <row r="27" spans="1:9" x14ac:dyDescent="0.35">
      <c r="A27" s="110">
        <f>IF((B27&gt;(Inputs!$B$7+Inputs!$B$8-0)),0,IF((B27&lt;Inputs!$B$7),0,((B27-Inputs!$B$7)+0)))</f>
        <v>14</v>
      </c>
      <c r="B27" s="100">
        <f t="shared" si="4"/>
        <v>2041</v>
      </c>
      <c r="C27" s="96">
        <f t="shared" si="5"/>
        <v>48118.852459016387</v>
      </c>
      <c r="D27" s="72">
        <f t="shared" si="0"/>
        <v>12435</v>
      </c>
      <c r="E27" s="96">
        <f t="shared" si="6"/>
        <v>76990.163934426237</v>
      </c>
      <c r="F27" s="96">
        <f t="shared" si="1"/>
        <v>19896</v>
      </c>
      <c r="G27" s="96">
        <f t="shared" si="7"/>
        <v>-28871.31147540985</v>
      </c>
      <c r="H27" s="72">
        <f t="shared" si="8"/>
        <v>-7461</v>
      </c>
    </row>
    <row r="28" spans="1:9" x14ac:dyDescent="0.35">
      <c r="A28" s="110">
        <f>IF((B28&gt;(Inputs!$B$7+Inputs!$B$8-0)),0,IF((B28&lt;Inputs!$B$7),0,((B28-Inputs!$B$7)+0)))</f>
        <v>15</v>
      </c>
      <c r="B28" s="100">
        <f t="shared" si="4"/>
        <v>2042</v>
      </c>
      <c r="C28" s="96">
        <f t="shared" si="5"/>
        <v>48118.852459016387</v>
      </c>
      <c r="D28" s="72">
        <f t="shared" si="0"/>
        <v>11621</v>
      </c>
      <c r="E28" s="96">
        <f t="shared" si="6"/>
        <v>76990.163934426237</v>
      </c>
      <c r="F28" s="96">
        <f t="shared" si="1"/>
        <v>18594</v>
      </c>
      <c r="G28" s="96">
        <f t="shared" si="7"/>
        <v>-28871.31147540985</v>
      </c>
      <c r="H28" s="72">
        <f t="shared" si="8"/>
        <v>-6973</v>
      </c>
    </row>
    <row r="29" spans="1:9" x14ac:dyDescent="0.35">
      <c r="A29" s="110">
        <f>IF((B29&gt;(Inputs!$B$7+Inputs!$B$8-0)),0,IF((B29&lt;Inputs!$B$7),0,((B29-Inputs!$B$7)+0)))</f>
        <v>16</v>
      </c>
      <c r="B29" s="100">
        <f t="shared" si="4"/>
        <v>2043</v>
      </c>
      <c r="C29" s="96">
        <f t="shared" si="5"/>
        <v>48118.852459016387</v>
      </c>
      <c r="D29" s="72">
        <f t="shared" si="0"/>
        <v>10861</v>
      </c>
      <c r="E29" s="96">
        <f t="shared" si="6"/>
        <v>76990.163934426237</v>
      </c>
      <c r="F29" s="96">
        <f t="shared" si="1"/>
        <v>17378</v>
      </c>
      <c r="G29" s="96">
        <f t="shared" si="7"/>
        <v>-28871.31147540985</v>
      </c>
      <c r="H29" s="72">
        <f t="shared" si="8"/>
        <v>-6517</v>
      </c>
    </row>
    <row r="30" spans="1:9" x14ac:dyDescent="0.35">
      <c r="A30" s="110">
        <f>IF((B30&gt;(Inputs!$B$7+Inputs!$B$8-0)),0,IF((B30&lt;Inputs!$B$7),0,((B30-Inputs!$B$7)+0)))</f>
        <v>17</v>
      </c>
      <c r="B30" s="100">
        <f t="shared" si="4"/>
        <v>2044</v>
      </c>
      <c r="C30" s="96">
        <f t="shared" si="5"/>
        <v>48118.852459016387</v>
      </c>
      <c r="D30" s="72">
        <f t="shared" si="0"/>
        <v>10151</v>
      </c>
      <c r="E30" s="96">
        <f t="shared" si="6"/>
        <v>76990.163934426237</v>
      </c>
      <c r="F30" s="96">
        <f t="shared" si="1"/>
        <v>16241</v>
      </c>
      <c r="G30" s="96">
        <f t="shared" si="7"/>
        <v>-28871.31147540985</v>
      </c>
      <c r="H30" s="72">
        <f t="shared" si="8"/>
        <v>-6090</v>
      </c>
    </row>
    <row r="31" spans="1:9" x14ac:dyDescent="0.35">
      <c r="A31" s="110">
        <f>IF((B31&gt;(Inputs!$B$7+Inputs!$B$8-0)),0,IF((B31&lt;Inputs!$B$7),0,((B31-Inputs!$B$7)+0)))</f>
        <v>18</v>
      </c>
      <c r="B31" s="100">
        <f t="shared" ref="B31:B33" si="9">B30+1</f>
        <v>2045</v>
      </c>
      <c r="C31" s="96">
        <f>$C$3+L5</f>
        <v>172775.27160392125</v>
      </c>
      <c r="D31" s="72">
        <f t="shared" si="0"/>
        <v>34062</v>
      </c>
      <c r="E31" s="96">
        <f>$C$4+L5</f>
        <v>201646.58307933109</v>
      </c>
      <c r="F31" s="96">
        <f t="shared" si="1"/>
        <v>39754</v>
      </c>
      <c r="G31" s="96">
        <f t="shared" ref="G31:G32" si="10">C31-E31</f>
        <v>-28871.311475409835</v>
      </c>
      <c r="H31" s="72">
        <f t="shared" ref="H31:H32" si="11">ROUND(G31/((1+H$9)^($B31-C$8)),0)</f>
        <v>-5692</v>
      </c>
    </row>
    <row r="32" spans="1:9" x14ac:dyDescent="0.35">
      <c r="A32" s="110">
        <f>IF((B32&gt;(Inputs!$B$7+Inputs!$B$8-0)),0,IF((B32&lt;Inputs!$B$7),0,((B32-Inputs!$B$7)+0)))</f>
        <v>19</v>
      </c>
      <c r="B32" s="100">
        <f t="shared" si="9"/>
        <v>2046</v>
      </c>
      <c r="C32" s="96">
        <f t="shared" si="5"/>
        <v>48118.852459016387</v>
      </c>
      <c r="D32" s="72">
        <f t="shared" si="0"/>
        <v>8866</v>
      </c>
      <c r="E32" s="96">
        <f t="shared" si="6"/>
        <v>76990.163934426237</v>
      </c>
      <c r="F32" s="96">
        <f t="shared" si="1"/>
        <v>14185</v>
      </c>
      <c r="G32" s="96">
        <f t="shared" si="10"/>
        <v>-28871.31147540985</v>
      </c>
      <c r="H32" s="72">
        <f t="shared" si="11"/>
        <v>-5320</v>
      </c>
    </row>
    <row r="33" spans="1:9" x14ac:dyDescent="0.35">
      <c r="A33" s="110">
        <f>IF((B33&gt;(Inputs!$B$7+Inputs!$B$8-0)),0,IF((B33&lt;Inputs!$B$7),0,((B33-Inputs!$B$7)+0)))</f>
        <v>20</v>
      </c>
      <c r="B33" s="100">
        <f t="shared" si="9"/>
        <v>2047</v>
      </c>
      <c r="C33" s="96">
        <f t="shared" si="5"/>
        <v>48118.852459016387</v>
      </c>
      <c r="D33" s="72">
        <f t="shared" si="0"/>
        <v>8286</v>
      </c>
      <c r="E33" s="96">
        <f t="shared" si="6"/>
        <v>76990.163934426237</v>
      </c>
      <c r="F33" s="96">
        <f t="shared" si="1"/>
        <v>13257</v>
      </c>
      <c r="G33" s="96">
        <f t="shared" si="7"/>
        <v>-28871.31147540985</v>
      </c>
      <c r="H33" s="72">
        <f t="shared" si="8"/>
        <v>-4972</v>
      </c>
      <c r="I33" s="68"/>
    </row>
    <row r="34" spans="1:9" x14ac:dyDescent="0.35">
      <c r="A34" s="50"/>
      <c r="B34" s="50" t="s">
        <v>176</v>
      </c>
      <c r="C34" s="95">
        <f t="shared" ref="C34:G34" si="12">SUM(C11:C33)</f>
        <v>18636847.703599978</v>
      </c>
      <c r="D34" s="95">
        <f t="shared" si="12"/>
        <v>10206254</v>
      </c>
      <c r="E34" s="95">
        <f t="shared" si="12"/>
        <v>4551590.8453744147</v>
      </c>
      <c r="F34" s="95">
        <f t="shared" si="12"/>
        <v>1366384</v>
      </c>
      <c r="G34" s="95">
        <f t="shared" si="12"/>
        <v>14085256.858225565</v>
      </c>
      <c r="H34" s="95">
        <f>SUM(H11:H33)</f>
        <v>8839868</v>
      </c>
    </row>
  </sheetData>
  <sheetProtection algorithmName="SHA-512" hashValue="I7TcmFsSn85wRySxgLYs6hzI+UZVYNkY2Kyz6b6KwCsaKQ8xDs1E2PK/LmtPzorTV+VeDvJTHtQiploGgKZAdA==" saltValue="dltDBk0OQK7hyjNAIemgtg==" spinCount="100000" sheet="1" objects="1" scenarios="1"/>
  <phoneticPr fontId="51"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Y44"/>
  <sheetViews>
    <sheetView tabSelected="1" topLeftCell="A14" zoomScale="85" zoomScaleNormal="85" workbookViewId="0">
      <selection activeCell="J19" sqref="J19"/>
    </sheetView>
  </sheetViews>
  <sheetFormatPr defaultColWidth="9.26953125" defaultRowHeight="14.5" x14ac:dyDescent="0.35"/>
  <cols>
    <col min="2" max="2" width="16.54296875" customWidth="1"/>
    <col min="3" max="3" width="11" customWidth="1"/>
    <col min="4" max="8" width="12.26953125" customWidth="1"/>
    <col min="9" max="9" width="15" customWidth="1"/>
    <col min="10" max="10" width="16.26953125" bestFit="1" customWidth="1"/>
    <col min="11" max="11" width="9.26953125" customWidth="1"/>
    <col min="12" max="13" width="10" customWidth="1"/>
    <col min="14" max="14" width="12.26953125" customWidth="1"/>
    <col min="15" max="15" width="10" customWidth="1"/>
    <col min="16" max="16" width="11.26953125" customWidth="1"/>
    <col min="17" max="17" width="10" customWidth="1"/>
    <col min="18" max="18" width="13.453125" customWidth="1"/>
    <col min="19" max="20" width="10.26953125" customWidth="1"/>
    <col min="21" max="21" width="10.54296875" customWidth="1"/>
    <col min="22" max="22" width="13.26953125" customWidth="1"/>
    <col min="23" max="23" width="13.453125" customWidth="1"/>
    <col min="24" max="24" width="11.7265625" customWidth="1"/>
    <col min="25" max="25" width="12.7265625" customWidth="1"/>
    <col min="26" max="36" width="18.7265625" customWidth="1"/>
  </cols>
  <sheetData>
    <row r="1" spans="1:25" x14ac:dyDescent="0.35">
      <c r="B1" s="5" t="s">
        <v>375</v>
      </c>
    </row>
    <row r="2" spans="1:25" x14ac:dyDescent="0.35">
      <c r="B2" t="s">
        <v>376</v>
      </c>
      <c r="H2" s="5" t="s">
        <v>377</v>
      </c>
      <c r="J2" s="9" t="s">
        <v>378</v>
      </c>
      <c r="L2" s="30"/>
      <c r="M2" s="30"/>
    </row>
    <row r="3" spans="1:25" x14ac:dyDescent="0.35">
      <c r="H3" t="str">
        <f>Inputs!A47</f>
        <v>Injury crash (2021$)</v>
      </c>
      <c r="J3" s="174">
        <f>Inputs!B47</f>
        <v>307800</v>
      </c>
      <c r="L3" s="30" t="s">
        <v>379</v>
      </c>
      <c r="M3" s="30" t="s">
        <v>380</v>
      </c>
    </row>
    <row r="4" spans="1:25" x14ac:dyDescent="0.35">
      <c r="B4" t="s">
        <v>381</v>
      </c>
      <c r="C4">
        <v>2022</v>
      </c>
      <c r="H4" t="str">
        <f>Inputs!A48</f>
        <v>Fatal crash (2021$)</v>
      </c>
      <c r="J4" s="174">
        <f>Inputs!B48</f>
        <v>13046800</v>
      </c>
      <c r="L4" s="30">
        <v>0.75</v>
      </c>
      <c r="M4" s="30" t="s">
        <v>382</v>
      </c>
    </row>
    <row r="5" spans="1:25" x14ac:dyDescent="0.35">
      <c r="B5" t="s">
        <v>383</v>
      </c>
      <c r="C5">
        <f>Inputs!B10</f>
        <v>2021</v>
      </c>
      <c r="H5" t="str">
        <f>Inputs!A39</f>
        <v>PDO Damage values (2021$)</v>
      </c>
      <c r="J5" s="132">
        <v>4800</v>
      </c>
      <c r="K5" s="68"/>
      <c r="L5" s="30">
        <v>0.86</v>
      </c>
      <c r="M5" s="30" t="s">
        <v>384</v>
      </c>
    </row>
    <row r="6" spans="1:25" x14ac:dyDescent="0.35">
      <c r="B6" t="s">
        <v>385</v>
      </c>
      <c r="C6" s="7">
        <f>Inputs!B3</f>
        <v>7.0000000000000007E-2</v>
      </c>
      <c r="H6" s="175" t="s">
        <v>386</v>
      </c>
      <c r="J6" s="174">
        <f>Inputs!B40</f>
        <v>4000</v>
      </c>
      <c r="L6" s="30">
        <f>SUM(L5*L4)</f>
        <v>0.64500000000000002</v>
      </c>
      <c r="M6" s="30" t="s">
        <v>387</v>
      </c>
    </row>
    <row r="7" spans="1:25" x14ac:dyDescent="0.35">
      <c r="B7" t="str">
        <f>Inputs!A16</f>
        <v>Annual Growth Rate (CAGR)</v>
      </c>
      <c r="C7" s="70">
        <f>Inputs!B16</f>
        <v>0.02</v>
      </c>
      <c r="H7" s="175" t="s">
        <v>388</v>
      </c>
      <c r="J7" s="174">
        <f>Inputs!B41</f>
        <v>78500</v>
      </c>
      <c r="L7" s="30"/>
      <c r="M7" s="30"/>
      <c r="N7" s="30"/>
      <c r="O7" s="30"/>
    </row>
    <row r="8" spans="1:25" x14ac:dyDescent="0.35">
      <c r="H8" s="175" t="s">
        <v>389</v>
      </c>
      <c r="J8" s="174">
        <f>Inputs!B42</f>
        <v>153700</v>
      </c>
      <c r="L8" s="30"/>
      <c r="M8" s="30"/>
      <c r="N8" s="30"/>
      <c r="O8" s="30"/>
    </row>
    <row r="9" spans="1:25" x14ac:dyDescent="0.35">
      <c r="H9" s="175" t="s">
        <v>390</v>
      </c>
      <c r="J9" s="174">
        <f>Inputs!B43</f>
        <v>564300</v>
      </c>
    </row>
    <row r="10" spans="1:25" x14ac:dyDescent="0.35">
      <c r="H10" s="175" t="s">
        <v>391</v>
      </c>
      <c r="J10" s="174">
        <f>Inputs!B44</f>
        <v>11800000</v>
      </c>
    </row>
    <row r="11" spans="1:25" x14ac:dyDescent="0.35">
      <c r="B11" s="5" t="s">
        <v>392</v>
      </c>
      <c r="H11" s="175" t="s">
        <v>393</v>
      </c>
      <c r="J11" s="174">
        <f>Inputs!B45</f>
        <v>213900</v>
      </c>
    </row>
    <row r="12" spans="1:25" x14ac:dyDescent="0.35">
      <c r="B12" t="s">
        <v>394</v>
      </c>
      <c r="H12" s="175" t="s">
        <v>395</v>
      </c>
      <c r="J12" s="174">
        <f>Inputs!B46</f>
        <v>162600</v>
      </c>
    </row>
    <row r="13" spans="1:25" x14ac:dyDescent="0.35">
      <c r="E13" s="239"/>
      <c r="F13" s="239"/>
      <c r="G13" s="239"/>
      <c r="H13" s="239"/>
      <c r="I13" s="239"/>
      <c r="J13" s="239"/>
      <c r="K13" s="254"/>
      <c r="L13" s="406" t="s">
        <v>396</v>
      </c>
      <c r="M13" s="406"/>
      <c r="N13" s="406"/>
      <c r="O13" s="406"/>
      <c r="P13" s="406"/>
      <c r="Q13" s="406"/>
      <c r="R13" s="406"/>
      <c r="S13" s="406" t="s">
        <v>397</v>
      </c>
      <c r="T13" s="406"/>
      <c r="U13" s="406"/>
      <c r="V13" s="406"/>
      <c r="W13" s="406"/>
      <c r="X13" s="406"/>
      <c r="Y13" s="406"/>
    </row>
    <row r="14" spans="1:25" s="119" customFormat="1" ht="45.75" customHeight="1" x14ac:dyDescent="0.35">
      <c r="A14" s="133" t="s">
        <v>398</v>
      </c>
      <c r="B14" s="251" t="s">
        <v>399</v>
      </c>
      <c r="C14" s="251" t="s">
        <v>400</v>
      </c>
      <c r="D14" s="252" t="s">
        <v>401</v>
      </c>
      <c r="E14" s="252" t="s">
        <v>402</v>
      </c>
      <c r="F14" s="252" t="s">
        <v>403</v>
      </c>
      <c r="G14" s="252" t="s">
        <v>404</v>
      </c>
      <c r="H14" s="252" t="s">
        <v>405</v>
      </c>
      <c r="I14" s="252" t="s">
        <v>406</v>
      </c>
      <c r="J14" s="252" t="s">
        <v>407</v>
      </c>
      <c r="K14" s="252" t="s">
        <v>408</v>
      </c>
      <c r="L14" s="252" t="s">
        <v>402</v>
      </c>
      <c r="M14" s="252" t="s">
        <v>403</v>
      </c>
      <c r="N14" s="252" t="s">
        <v>404</v>
      </c>
      <c r="O14" s="252" t="s">
        <v>405</v>
      </c>
      <c r="P14" s="252" t="s">
        <v>406</v>
      </c>
      <c r="Q14" s="252" t="s">
        <v>407</v>
      </c>
      <c r="R14" s="252" t="s">
        <v>409</v>
      </c>
      <c r="S14" s="252" t="s">
        <v>402</v>
      </c>
      <c r="T14" s="252" t="s">
        <v>403</v>
      </c>
      <c r="U14" s="252" t="s">
        <v>404</v>
      </c>
      <c r="V14" s="252" t="s">
        <v>405</v>
      </c>
      <c r="W14" s="252" t="s">
        <v>406</v>
      </c>
      <c r="X14" s="252" t="s">
        <v>407</v>
      </c>
      <c r="Y14" s="252" t="s">
        <v>410</v>
      </c>
    </row>
    <row r="15" spans="1:25" s="34" customFormat="1" ht="29" x14ac:dyDescent="0.35">
      <c r="A15" s="253" t="s">
        <v>411</v>
      </c>
      <c r="B15" s="236">
        <v>38</v>
      </c>
      <c r="C15" s="236" t="s">
        <v>412</v>
      </c>
      <c r="D15" s="249" t="s">
        <v>413</v>
      </c>
      <c r="E15" s="250">
        <v>1</v>
      </c>
      <c r="F15" s="250">
        <v>9</v>
      </c>
      <c r="G15" s="250">
        <v>9</v>
      </c>
      <c r="H15" s="250">
        <v>16</v>
      </c>
      <c r="I15" s="250">
        <v>64</v>
      </c>
      <c r="J15" s="250">
        <v>0</v>
      </c>
      <c r="K15" s="250">
        <f>SUM(E15:J15)</f>
        <v>99</v>
      </c>
      <c r="L15" s="250">
        <f t="shared" ref="L15:Q17" si="0">E15/5</f>
        <v>0.2</v>
      </c>
      <c r="M15" s="250">
        <f t="shared" si="0"/>
        <v>1.8</v>
      </c>
      <c r="N15" s="250">
        <f t="shared" si="0"/>
        <v>1.8</v>
      </c>
      <c r="O15" s="250">
        <f t="shared" si="0"/>
        <v>3.2</v>
      </c>
      <c r="P15" s="250">
        <f t="shared" si="0"/>
        <v>12.8</v>
      </c>
      <c r="Q15" s="250">
        <f t="shared" si="0"/>
        <v>0</v>
      </c>
      <c r="R15" s="250">
        <f>SUM(L15:Q15)</f>
        <v>19.8</v>
      </c>
      <c r="S15" s="253">
        <f>L15*(1-$L$6)</f>
        <v>7.0999999999999994E-2</v>
      </c>
      <c r="T15" s="253">
        <f t="shared" ref="S15:X17" si="1">M15*(1-$L$6)</f>
        <v>0.63900000000000001</v>
      </c>
      <c r="U15" s="268">
        <f t="shared" si="1"/>
        <v>0.63900000000000001</v>
      </c>
      <c r="V15" s="253">
        <f t="shared" si="1"/>
        <v>1.1359999999999999</v>
      </c>
      <c r="W15" s="253">
        <f t="shared" si="1"/>
        <v>4.5439999999999996</v>
      </c>
      <c r="X15" s="253">
        <f t="shared" si="1"/>
        <v>0</v>
      </c>
      <c r="Y15" s="253">
        <f>SUM(S15:X15)</f>
        <v>7.0289999999999999</v>
      </c>
    </row>
    <row r="16" spans="1:25" s="34" customFormat="1" ht="29" x14ac:dyDescent="0.35">
      <c r="A16" s="253" t="s">
        <v>411</v>
      </c>
      <c r="B16" s="236">
        <v>38</v>
      </c>
      <c r="C16" s="236" t="s">
        <v>414</v>
      </c>
      <c r="D16" s="249" t="s">
        <v>415</v>
      </c>
      <c r="E16" s="250">
        <v>1</v>
      </c>
      <c r="F16" s="250">
        <v>2</v>
      </c>
      <c r="G16" s="250">
        <v>9</v>
      </c>
      <c r="H16" s="250">
        <v>10</v>
      </c>
      <c r="I16" s="250">
        <v>31</v>
      </c>
      <c r="J16" s="250">
        <v>2</v>
      </c>
      <c r="K16" s="250">
        <f>SUM(E16:J16)</f>
        <v>55</v>
      </c>
      <c r="L16" s="250">
        <f t="shared" si="0"/>
        <v>0.2</v>
      </c>
      <c r="M16" s="250">
        <f t="shared" si="0"/>
        <v>0.4</v>
      </c>
      <c r="N16" s="250">
        <f t="shared" si="0"/>
        <v>1.8</v>
      </c>
      <c r="O16" s="250">
        <f t="shared" si="0"/>
        <v>2</v>
      </c>
      <c r="P16" s="250">
        <f t="shared" si="0"/>
        <v>6.2</v>
      </c>
      <c r="Q16" s="250">
        <f t="shared" si="0"/>
        <v>0.4</v>
      </c>
      <c r="R16" s="250">
        <f>SUM(L16:Q16)</f>
        <v>11.000000000000002</v>
      </c>
      <c r="S16" s="253">
        <f t="shared" si="1"/>
        <v>7.0999999999999994E-2</v>
      </c>
      <c r="T16" s="253">
        <f t="shared" si="1"/>
        <v>0.14199999999999999</v>
      </c>
      <c r="U16" s="268">
        <f t="shared" si="1"/>
        <v>0.63900000000000001</v>
      </c>
      <c r="V16" s="253">
        <f>O16*(1-$L$6)</f>
        <v>0.71</v>
      </c>
      <c r="W16" s="253">
        <f t="shared" si="1"/>
        <v>2.2010000000000001</v>
      </c>
      <c r="X16" s="253">
        <f t="shared" si="1"/>
        <v>0.14199999999999999</v>
      </c>
      <c r="Y16" s="253">
        <f>SUM(S16:X16)</f>
        <v>3.9049999999999998</v>
      </c>
    </row>
    <row r="17" spans="1:25" s="34" customFormat="1" ht="29" x14ac:dyDescent="0.35">
      <c r="A17" s="253" t="s">
        <v>411</v>
      </c>
      <c r="B17" s="236">
        <v>38</v>
      </c>
      <c r="C17" s="236" t="s">
        <v>416</v>
      </c>
      <c r="D17" s="249" t="s">
        <v>417</v>
      </c>
      <c r="E17" s="250">
        <v>2</v>
      </c>
      <c r="F17" s="250">
        <v>4</v>
      </c>
      <c r="G17" s="250">
        <v>10</v>
      </c>
      <c r="H17" s="250">
        <v>16</v>
      </c>
      <c r="I17" s="250">
        <v>84</v>
      </c>
      <c r="J17" s="250">
        <v>0</v>
      </c>
      <c r="K17" s="250">
        <f>SUM(E17:J17)</f>
        <v>116</v>
      </c>
      <c r="L17" s="250">
        <f t="shared" si="0"/>
        <v>0.4</v>
      </c>
      <c r="M17" s="250">
        <f t="shared" si="0"/>
        <v>0.8</v>
      </c>
      <c r="N17" s="250">
        <f t="shared" si="0"/>
        <v>2</v>
      </c>
      <c r="O17" s="250">
        <f t="shared" si="0"/>
        <v>3.2</v>
      </c>
      <c r="P17" s="250">
        <f t="shared" si="0"/>
        <v>16.8</v>
      </c>
      <c r="Q17" s="250">
        <f t="shared" si="0"/>
        <v>0</v>
      </c>
      <c r="R17" s="250">
        <f>SUM(L17:Q17)</f>
        <v>23.200000000000003</v>
      </c>
      <c r="S17" s="253">
        <f t="shared" si="1"/>
        <v>0.14199999999999999</v>
      </c>
      <c r="T17" s="253">
        <f t="shared" si="1"/>
        <v>0.28399999999999997</v>
      </c>
      <c r="U17" s="268">
        <f t="shared" si="1"/>
        <v>0.71</v>
      </c>
      <c r="V17" s="253">
        <f t="shared" si="1"/>
        <v>1.1359999999999999</v>
      </c>
      <c r="W17" s="253">
        <f>P17*(1-$L$6)</f>
        <v>5.9639999999999995</v>
      </c>
      <c r="X17" s="253">
        <f t="shared" si="1"/>
        <v>0</v>
      </c>
      <c r="Y17" s="253">
        <f>SUM(S17:X17)</f>
        <v>8.2359999999999989</v>
      </c>
    </row>
    <row r="18" spans="1:25" s="34" customFormat="1" x14ac:dyDescent="0.35">
      <c r="A18" s="253"/>
      <c r="B18" s="253"/>
      <c r="C18" s="253"/>
      <c r="D18" s="250"/>
      <c r="E18" s="250">
        <f>SUM(E15:E17)</f>
        <v>4</v>
      </c>
      <c r="F18" s="250">
        <f>SUM(F15:F17)</f>
        <v>15</v>
      </c>
      <c r="G18" s="250">
        <f t="shared" ref="G18:K18" si="2">SUM(G15:G17)</f>
        <v>28</v>
      </c>
      <c r="H18" s="250">
        <f t="shared" si="2"/>
        <v>42</v>
      </c>
      <c r="I18" s="250">
        <f t="shared" si="2"/>
        <v>179</v>
      </c>
      <c r="J18" s="250">
        <f t="shared" si="2"/>
        <v>2</v>
      </c>
      <c r="K18" s="250">
        <f t="shared" si="2"/>
        <v>270</v>
      </c>
      <c r="L18" s="250">
        <f t="shared" ref="L18:Y18" si="3">SUM(L15:L17)</f>
        <v>0.8</v>
      </c>
      <c r="M18" s="250">
        <f t="shared" si="3"/>
        <v>3</v>
      </c>
      <c r="N18" s="250">
        <f t="shared" si="3"/>
        <v>5.6</v>
      </c>
      <c r="O18" s="250">
        <f t="shared" si="3"/>
        <v>8.4</v>
      </c>
      <c r="P18" s="250">
        <f t="shared" si="3"/>
        <v>35.799999999999997</v>
      </c>
      <c r="Q18" s="250">
        <f t="shared" si="3"/>
        <v>0.4</v>
      </c>
      <c r="R18" s="250">
        <f t="shared" si="3"/>
        <v>54.000000000000007</v>
      </c>
      <c r="S18" s="250">
        <f>SUM(S15:S17)</f>
        <v>0.28399999999999997</v>
      </c>
      <c r="T18" s="250">
        <f t="shared" si="3"/>
        <v>1.0649999999999999</v>
      </c>
      <c r="U18" s="250">
        <f t="shared" si="3"/>
        <v>1.988</v>
      </c>
      <c r="V18" s="250">
        <f t="shared" si="3"/>
        <v>2.9819999999999998</v>
      </c>
      <c r="W18" s="250">
        <f t="shared" si="3"/>
        <v>12.709</v>
      </c>
      <c r="X18" s="250">
        <f t="shared" si="3"/>
        <v>0.14199999999999999</v>
      </c>
      <c r="Y18" s="250">
        <f t="shared" si="3"/>
        <v>19.169999999999998</v>
      </c>
    </row>
    <row r="19" spans="1:25" x14ac:dyDescent="0.35">
      <c r="B19" t="s">
        <v>418</v>
      </c>
    </row>
    <row r="22" spans="1:25" x14ac:dyDescent="0.35">
      <c r="C22" s="410" t="s">
        <v>419</v>
      </c>
      <c r="D22" s="410"/>
      <c r="E22" s="410"/>
      <c r="F22" s="410"/>
      <c r="G22" s="410"/>
      <c r="H22" s="410"/>
      <c r="I22" s="7"/>
    </row>
    <row r="23" spans="1:25" ht="29" x14ac:dyDescent="0.35">
      <c r="A23" s="29" t="s">
        <v>144</v>
      </c>
      <c r="B23" s="71" t="s">
        <v>145</v>
      </c>
      <c r="C23" s="54" t="s">
        <v>420</v>
      </c>
      <c r="D23" s="54" t="s">
        <v>421</v>
      </c>
      <c r="E23" s="71" t="s">
        <v>422</v>
      </c>
      <c r="F23" s="53" t="s">
        <v>423</v>
      </c>
      <c r="G23" s="53" t="s">
        <v>424</v>
      </c>
      <c r="H23" s="53" t="s">
        <v>425</v>
      </c>
      <c r="I23" s="54" t="s">
        <v>176</v>
      </c>
      <c r="J23" s="54" t="s">
        <v>426</v>
      </c>
    </row>
    <row r="24" spans="1:25" x14ac:dyDescent="0.35">
      <c r="A24">
        <f>IF((B24&gt;(Inputs!$B$7+Inputs!$B$8)),0,IF((B24&lt;Inputs!$B$7),0,((B24-Inputs!$B$7))))</f>
        <v>1</v>
      </c>
      <c r="B24" s="50">
        <f>Inputs!B11</f>
        <v>2028</v>
      </c>
      <c r="C24" s="72">
        <f>SUM(S18*$J$10)</f>
        <v>3351199.9999999995</v>
      </c>
      <c r="D24" s="72">
        <f>SUM(T18*J9)</f>
        <v>600979.5</v>
      </c>
      <c r="E24" s="72">
        <f>SUM(U18*J8)</f>
        <v>305555.59999999998</v>
      </c>
      <c r="F24" s="72">
        <f>SUM(V18*J7)</f>
        <v>234086.99999999997</v>
      </c>
      <c r="G24" s="72">
        <f>SUM(W18*J5)</f>
        <v>61003.199999999997</v>
      </c>
      <c r="H24" s="72">
        <f>SUM(X18*J11)</f>
        <v>30373.799999999996</v>
      </c>
      <c r="I24" s="72">
        <f t="shared" ref="I24:I43" si="4">IF(A24&gt;0,SUM(C24:H24),)</f>
        <v>4583199.0999999996</v>
      </c>
      <c r="J24" s="72">
        <f>I24/(1+$C$6)^(B24-$C$5)</f>
        <v>2854186.0565306898</v>
      </c>
    </row>
    <row r="25" spans="1:25" x14ac:dyDescent="0.35">
      <c r="A25">
        <f>IF((B25&gt;(Inputs!$B$7+Inputs!$B$8)),0,IF((B25&lt;Inputs!$B$7),0,((B25-Inputs!$B$7))))</f>
        <v>2</v>
      </c>
      <c r="B25" s="50">
        <f t="shared" ref="B25:B43" si="5">B24+1</f>
        <v>2029</v>
      </c>
      <c r="C25" s="72">
        <f>C24*(1+$C$7)</f>
        <v>3418223.9999999995</v>
      </c>
      <c r="D25" s="72">
        <f t="shared" ref="D25:D43" si="6">D24*(1+$C$7)</f>
        <v>612999.09</v>
      </c>
      <c r="E25" s="72">
        <f t="shared" ref="E25:E43" si="7">E24*(1+$C$7)</f>
        <v>311666.712</v>
      </c>
      <c r="F25" s="72">
        <f t="shared" ref="F25:F43" si="8">F24*(1+$C$7)</f>
        <v>238768.73999999996</v>
      </c>
      <c r="G25" s="72">
        <f t="shared" ref="G25:G43" si="9">G24*(1+$C$7)</f>
        <v>62223.263999999996</v>
      </c>
      <c r="H25" s="72">
        <f t="shared" ref="H25:H43" si="10">H24*(1+$C$7)</f>
        <v>30981.275999999994</v>
      </c>
      <c r="I25" s="72">
        <f>IF(A25&gt;0,SUM(C25:H25),)</f>
        <v>4674863.0819999995</v>
      </c>
      <c r="J25" s="72">
        <f t="shared" ref="J25:J43" si="11">I25/(1+$C$6)^(B25-$C$5)</f>
        <v>2720812.8763189754</v>
      </c>
      <c r="L25" s="117"/>
      <c r="M25" s="117"/>
      <c r="N25" s="117"/>
      <c r="O25" s="117"/>
      <c r="P25" s="117"/>
      <c r="Q25" s="117"/>
    </row>
    <row r="26" spans="1:25" x14ac:dyDescent="0.35">
      <c r="A26">
        <f>IF((B26&gt;(Inputs!$B$7+Inputs!$B$8)),0,IF((B26&lt;Inputs!$B$7),0,((B26-Inputs!$B$7))))</f>
        <v>3</v>
      </c>
      <c r="B26" s="50">
        <f>B25+1</f>
        <v>2030</v>
      </c>
      <c r="C26" s="72">
        <f t="shared" ref="C26:C43" si="12">C25*(1+$C$7)</f>
        <v>3486588.4799999995</v>
      </c>
      <c r="D26" s="72">
        <f t="shared" si="6"/>
        <v>625259.07180000003</v>
      </c>
      <c r="E26" s="72">
        <f t="shared" si="7"/>
        <v>317900.04624</v>
      </c>
      <c r="F26" s="72">
        <f t="shared" si="8"/>
        <v>243544.11479999995</v>
      </c>
      <c r="G26" s="72">
        <f t="shared" si="9"/>
        <v>63467.72928</v>
      </c>
      <c r="H26" s="72">
        <f t="shared" si="10"/>
        <v>31600.901519999996</v>
      </c>
      <c r="I26" s="72">
        <f t="shared" si="4"/>
        <v>4768360.3436399987</v>
      </c>
      <c r="J26" s="72">
        <f t="shared" si="11"/>
        <v>2593672.0877059386</v>
      </c>
      <c r="L26" s="117"/>
      <c r="M26" s="117"/>
      <c r="N26" s="117"/>
      <c r="O26" s="117"/>
      <c r="P26" s="117"/>
      <c r="Q26" s="117"/>
    </row>
    <row r="27" spans="1:25" x14ac:dyDescent="0.35">
      <c r="A27">
        <f>IF((B27&gt;(Inputs!$B$7+Inputs!$B$8)),0,IF((B27&lt;Inputs!$B$7),0,((B27-Inputs!$B$7))))</f>
        <v>4</v>
      </c>
      <c r="B27" s="50">
        <f t="shared" si="5"/>
        <v>2031</v>
      </c>
      <c r="C27" s="72">
        <f t="shared" si="12"/>
        <v>3556320.2495999997</v>
      </c>
      <c r="D27" s="72">
        <f t="shared" si="6"/>
        <v>637764.25323600008</v>
      </c>
      <c r="E27" s="72">
        <f t="shared" si="7"/>
        <v>324258.04716479999</v>
      </c>
      <c r="F27" s="72">
        <f t="shared" si="8"/>
        <v>248414.99709599995</v>
      </c>
      <c r="G27" s="72">
        <f t="shared" si="9"/>
        <v>64737.083865599998</v>
      </c>
      <c r="H27" s="72">
        <f t="shared" si="10"/>
        <v>32232.919550399994</v>
      </c>
      <c r="I27" s="72">
        <f t="shared" si="4"/>
        <v>4863727.5505128</v>
      </c>
      <c r="J27" s="72">
        <f t="shared" si="11"/>
        <v>2472472.4574393067</v>
      </c>
      <c r="L27" s="117"/>
      <c r="M27" s="117"/>
      <c r="N27" s="117"/>
      <c r="O27" s="117"/>
      <c r="P27" s="117"/>
      <c r="Q27" s="117"/>
    </row>
    <row r="28" spans="1:25" x14ac:dyDescent="0.35">
      <c r="A28">
        <f>IF((B28&gt;(Inputs!$B$7+Inputs!$B$8)),0,IF((B28&lt;Inputs!$B$7),0,((B28-Inputs!$B$7))))</f>
        <v>5</v>
      </c>
      <c r="B28" s="50">
        <f t="shared" si="5"/>
        <v>2032</v>
      </c>
      <c r="C28" s="72">
        <f t="shared" si="12"/>
        <v>3627446.6545919999</v>
      </c>
      <c r="D28" s="72">
        <f t="shared" si="6"/>
        <v>650519.53830072004</v>
      </c>
      <c r="E28" s="72">
        <f t="shared" si="7"/>
        <v>330743.20810809598</v>
      </c>
      <c r="F28" s="72">
        <f t="shared" si="8"/>
        <v>253383.29703791995</v>
      </c>
      <c r="G28" s="72">
        <f t="shared" si="9"/>
        <v>66031.825542912004</v>
      </c>
      <c r="H28" s="72">
        <f t="shared" si="10"/>
        <v>32877.577941407995</v>
      </c>
      <c r="I28" s="72">
        <f t="shared" si="4"/>
        <v>4961002.1015230566</v>
      </c>
      <c r="J28" s="72">
        <f t="shared" si="11"/>
        <v>2356936.3612972829</v>
      </c>
      <c r="L28" s="117"/>
      <c r="M28" s="117"/>
      <c r="N28" s="117"/>
      <c r="O28" s="117"/>
      <c r="P28" s="117"/>
      <c r="Q28" s="117"/>
    </row>
    <row r="29" spans="1:25" x14ac:dyDescent="0.35">
      <c r="A29">
        <f>IF((B29&gt;(Inputs!$B$7+Inputs!$B$8)),0,IF((B29&lt;Inputs!$B$7),0,((B29-Inputs!$B$7))))</f>
        <v>6</v>
      </c>
      <c r="B29" s="50">
        <f t="shared" si="5"/>
        <v>2033</v>
      </c>
      <c r="C29" s="72">
        <f t="shared" si="12"/>
        <v>3699995.5876838402</v>
      </c>
      <c r="D29" s="72">
        <f t="shared" si="6"/>
        <v>663529.9290667345</v>
      </c>
      <c r="E29" s="72">
        <f t="shared" si="7"/>
        <v>337358.07227025792</v>
      </c>
      <c r="F29" s="72">
        <f t="shared" si="8"/>
        <v>258450.96297867835</v>
      </c>
      <c r="G29" s="72">
        <f t="shared" si="9"/>
        <v>67352.462053770243</v>
      </c>
      <c r="H29" s="72">
        <f t="shared" si="10"/>
        <v>33535.129500236158</v>
      </c>
      <c r="I29" s="72">
        <f t="shared" si="4"/>
        <v>5060222.1435535187</v>
      </c>
      <c r="J29" s="72">
        <f t="shared" si="11"/>
        <v>2246799.1481525511</v>
      </c>
      <c r="L29" s="117"/>
      <c r="M29" s="117"/>
      <c r="N29" s="117"/>
      <c r="O29" s="117"/>
      <c r="P29" s="117"/>
      <c r="Q29" s="117"/>
    </row>
    <row r="30" spans="1:25" x14ac:dyDescent="0.35">
      <c r="A30">
        <f>IF((B30&gt;(Inputs!$B$7+Inputs!$B$8)),0,IF((B30&lt;Inputs!$B$7),0,((B30-Inputs!$B$7))))</f>
        <v>7</v>
      </c>
      <c r="B30" s="50">
        <f t="shared" si="5"/>
        <v>2034</v>
      </c>
      <c r="C30" s="72">
        <f t="shared" si="12"/>
        <v>3773995.499437517</v>
      </c>
      <c r="D30" s="72">
        <f t="shared" si="6"/>
        <v>676800.5276480692</v>
      </c>
      <c r="E30" s="72">
        <f t="shared" si="7"/>
        <v>344105.23371566308</v>
      </c>
      <c r="F30" s="72">
        <f t="shared" si="8"/>
        <v>263619.98223825189</v>
      </c>
      <c r="G30" s="72">
        <f t="shared" si="9"/>
        <v>68699.511294845652</v>
      </c>
      <c r="H30" s="72">
        <f t="shared" si="10"/>
        <v>34205.832090240881</v>
      </c>
      <c r="I30" s="72">
        <f t="shared" si="4"/>
        <v>5161426.5864245873</v>
      </c>
      <c r="J30" s="72">
        <f>I30/(1+$C$6)^(B30-$C$5)</f>
        <v>2141808.5337528982</v>
      </c>
      <c r="L30" s="117"/>
      <c r="M30" s="117"/>
      <c r="N30" s="117"/>
      <c r="O30" s="117"/>
      <c r="P30" s="117"/>
      <c r="Q30" s="117"/>
    </row>
    <row r="31" spans="1:25" x14ac:dyDescent="0.35">
      <c r="A31">
        <f>IF((B31&gt;(Inputs!$B$7+Inputs!$B$8)),0,IF((B31&lt;Inputs!$B$7),0,((B31-Inputs!$B$7))))</f>
        <v>8</v>
      </c>
      <c r="B31" s="50">
        <f t="shared" si="5"/>
        <v>2035</v>
      </c>
      <c r="C31" s="72">
        <f t="shared" si="12"/>
        <v>3849475.4094262673</v>
      </c>
      <c r="D31" s="72">
        <f t="shared" si="6"/>
        <v>690336.53820103058</v>
      </c>
      <c r="E31" s="72">
        <f t="shared" si="7"/>
        <v>350987.33838997636</v>
      </c>
      <c r="F31" s="72">
        <f t="shared" si="8"/>
        <v>268892.38188301696</v>
      </c>
      <c r="G31" s="72">
        <f t="shared" si="9"/>
        <v>70073.50152074256</v>
      </c>
      <c r="H31" s="72">
        <f t="shared" si="10"/>
        <v>34889.948732045697</v>
      </c>
      <c r="I31" s="72">
        <f t="shared" si="4"/>
        <v>5264655.1181530785</v>
      </c>
      <c r="J31" s="72">
        <f t="shared" si="11"/>
        <v>2041724.0228298656</v>
      </c>
      <c r="L31" s="117"/>
      <c r="M31" s="117"/>
      <c r="N31" s="117"/>
      <c r="O31" s="117"/>
      <c r="P31" s="117"/>
      <c r="Q31" s="117"/>
    </row>
    <row r="32" spans="1:25" x14ac:dyDescent="0.35">
      <c r="A32">
        <f>IF((B32&gt;(Inputs!$B$7+Inputs!$B$8)),0,IF((B32&lt;Inputs!$B$7),0,((B32-Inputs!$B$7))))</f>
        <v>9</v>
      </c>
      <c r="B32" s="50">
        <f t="shared" si="5"/>
        <v>2036</v>
      </c>
      <c r="C32" s="72">
        <f t="shared" si="12"/>
        <v>3926464.9176147925</v>
      </c>
      <c r="D32" s="72">
        <f t="shared" si="6"/>
        <v>704143.26896505116</v>
      </c>
      <c r="E32" s="72">
        <f t="shared" si="7"/>
        <v>358007.0851577759</v>
      </c>
      <c r="F32" s="72">
        <f t="shared" si="8"/>
        <v>274270.2295206773</v>
      </c>
      <c r="G32" s="72">
        <f t="shared" si="9"/>
        <v>71474.971551157418</v>
      </c>
      <c r="H32" s="72">
        <f t="shared" si="10"/>
        <v>35587.747706686612</v>
      </c>
      <c r="I32" s="72">
        <f t="shared" si="4"/>
        <v>5369948.2205161415</v>
      </c>
      <c r="J32" s="72">
        <f t="shared" si="11"/>
        <v>1946316.3582116477</v>
      </c>
      <c r="L32" s="117"/>
      <c r="M32" s="117"/>
      <c r="N32" s="117"/>
      <c r="O32" s="117"/>
      <c r="P32" s="117"/>
      <c r="Q32" s="117"/>
    </row>
    <row r="33" spans="1:17" x14ac:dyDescent="0.35">
      <c r="A33">
        <f>IF((B33&gt;(Inputs!$B$7+Inputs!$B$8)),0,IF((B33&lt;Inputs!$B$7),0,((B33-Inputs!$B$7))))</f>
        <v>10</v>
      </c>
      <c r="B33" s="50">
        <f t="shared" si="5"/>
        <v>2037</v>
      </c>
      <c r="C33" s="72">
        <f t="shared" si="12"/>
        <v>4004994.2159670885</v>
      </c>
      <c r="D33" s="72">
        <f t="shared" si="6"/>
        <v>718226.13434435218</v>
      </c>
      <c r="E33" s="72">
        <f>E32*(1+$C$7)</f>
        <v>365167.22686093143</v>
      </c>
      <c r="F33" s="72">
        <f t="shared" si="8"/>
        <v>279755.63411109085</v>
      </c>
      <c r="G33" s="72">
        <f t="shared" si="9"/>
        <v>72904.470982180574</v>
      </c>
      <c r="H33" s="72">
        <f t="shared" si="10"/>
        <v>36299.502660820348</v>
      </c>
      <c r="I33" s="72">
        <f t="shared" si="4"/>
        <v>5477347.1849264633</v>
      </c>
      <c r="J33" s="72">
        <f t="shared" si="11"/>
        <v>1855366.9956783932</v>
      </c>
      <c r="L33" s="117"/>
      <c r="M33" s="117"/>
      <c r="N33" s="117"/>
      <c r="O33" s="117"/>
      <c r="P33" s="117"/>
      <c r="Q33" s="117"/>
    </row>
    <row r="34" spans="1:17" x14ac:dyDescent="0.35">
      <c r="A34">
        <f>IF((B34&gt;(Inputs!$B$7+Inputs!$B$8)),0,IF((B34&lt;Inputs!$B$7),0,((B34-Inputs!$B$7))))</f>
        <v>11</v>
      </c>
      <c r="B34" s="50">
        <f t="shared" si="5"/>
        <v>2038</v>
      </c>
      <c r="C34" s="72">
        <f t="shared" si="12"/>
        <v>4085094.1002864302</v>
      </c>
      <c r="D34" s="72">
        <f t="shared" si="6"/>
        <v>732590.65703123924</v>
      </c>
      <c r="E34" s="72">
        <f t="shared" si="7"/>
        <v>372470.57139815006</v>
      </c>
      <c r="F34" s="72">
        <f t="shared" si="8"/>
        <v>285350.74679331266</v>
      </c>
      <c r="G34" s="72">
        <f t="shared" si="9"/>
        <v>74362.560401824187</v>
      </c>
      <c r="H34" s="72">
        <f t="shared" si="10"/>
        <v>37025.492714036758</v>
      </c>
      <c r="I34" s="72">
        <f t="shared" si="4"/>
        <v>5586894.1286249943</v>
      </c>
      <c r="J34" s="72">
        <f t="shared" si="11"/>
        <v>1768667.6033569735</v>
      </c>
      <c r="L34" s="117"/>
      <c r="M34" s="117"/>
      <c r="N34" s="117"/>
      <c r="O34" s="117"/>
      <c r="P34" s="117"/>
      <c r="Q34" s="117"/>
    </row>
    <row r="35" spans="1:17" x14ac:dyDescent="0.35">
      <c r="A35">
        <f>IF((B35&gt;(Inputs!$B$7+Inputs!$B$8)),0,IF((B35&lt;Inputs!$B$7),0,((B35-Inputs!$B$7))))</f>
        <v>12</v>
      </c>
      <c r="B35" s="50">
        <f t="shared" si="5"/>
        <v>2039</v>
      </c>
      <c r="C35" s="72">
        <f t="shared" si="12"/>
        <v>4166795.982292159</v>
      </c>
      <c r="D35" s="72">
        <f t="shared" si="6"/>
        <v>747242.47017186403</v>
      </c>
      <c r="E35" s="72">
        <f t="shared" si="7"/>
        <v>379919.98282611306</v>
      </c>
      <c r="F35" s="72">
        <f t="shared" si="8"/>
        <v>291057.76172917889</v>
      </c>
      <c r="G35" s="72">
        <f t="shared" si="9"/>
        <v>75849.81160986067</v>
      </c>
      <c r="H35" s="72">
        <f t="shared" si="10"/>
        <v>37766.002568317497</v>
      </c>
      <c r="I35" s="72">
        <f t="shared" si="4"/>
        <v>5698632.0111974925</v>
      </c>
      <c r="J35" s="72">
        <f t="shared" si="11"/>
        <v>1686019.5845085161</v>
      </c>
      <c r="L35" s="117"/>
      <c r="M35" s="117"/>
      <c r="N35" s="117"/>
      <c r="O35" s="117"/>
      <c r="P35" s="117"/>
      <c r="Q35" s="117"/>
    </row>
    <row r="36" spans="1:17" x14ac:dyDescent="0.35">
      <c r="A36">
        <f>IF((B36&gt;(Inputs!$B$7+Inputs!$B$8)),0,IF((B36&lt;Inputs!$B$7),0,((B36-Inputs!$B$7))))</f>
        <v>13</v>
      </c>
      <c r="B36" s="50">
        <f t="shared" si="5"/>
        <v>2040</v>
      </c>
      <c r="C36" s="72">
        <f t="shared" si="12"/>
        <v>4250131.9019380026</v>
      </c>
      <c r="D36" s="72">
        <f t="shared" si="6"/>
        <v>762187.31957530137</v>
      </c>
      <c r="E36" s="72">
        <f t="shared" si="7"/>
        <v>387518.38248263532</v>
      </c>
      <c r="F36" s="72">
        <f t="shared" si="8"/>
        <v>296878.91696376249</v>
      </c>
      <c r="G36" s="72">
        <f t="shared" si="9"/>
        <v>77366.807842057882</v>
      </c>
      <c r="H36" s="72">
        <f t="shared" si="10"/>
        <v>38521.322619683851</v>
      </c>
      <c r="I36" s="72">
        <f t="shared" si="4"/>
        <v>5812604.6514214445</v>
      </c>
      <c r="J36" s="72">
        <f t="shared" si="11"/>
        <v>1607233.6226155953</v>
      </c>
      <c r="L36" s="117"/>
      <c r="M36" s="117"/>
      <c r="N36" s="117"/>
      <c r="O36" s="117"/>
      <c r="P36" s="117"/>
      <c r="Q36" s="117"/>
    </row>
    <row r="37" spans="1:17" x14ac:dyDescent="0.35">
      <c r="A37">
        <f>IF((B37&gt;(Inputs!$B$7+Inputs!$B$8)),0,IF((B37&lt;Inputs!$B$7),0,((B37-Inputs!$B$7))))</f>
        <v>14</v>
      </c>
      <c r="B37" s="50">
        <f t="shared" si="5"/>
        <v>2041</v>
      </c>
      <c r="C37" s="72">
        <f t="shared" si="12"/>
        <v>4335134.5399767626</v>
      </c>
      <c r="D37" s="72">
        <f t="shared" si="6"/>
        <v>777431.06596680742</v>
      </c>
      <c r="E37" s="72">
        <f t="shared" si="7"/>
        <v>395268.75013228803</v>
      </c>
      <c r="F37" s="72">
        <f t="shared" si="8"/>
        <v>302816.49530303775</v>
      </c>
      <c r="G37" s="72">
        <f t="shared" si="9"/>
        <v>78914.143998899046</v>
      </c>
      <c r="H37" s="72">
        <f t="shared" si="10"/>
        <v>39291.749072077531</v>
      </c>
      <c r="I37" s="72">
        <f t="shared" si="4"/>
        <v>5928856.7444498725</v>
      </c>
      <c r="J37" s="72">
        <f t="shared" si="11"/>
        <v>1532129.247727016</v>
      </c>
      <c r="L37" s="117"/>
      <c r="M37" s="117"/>
      <c r="N37" s="117"/>
      <c r="O37" s="117"/>
      <c r="P37" s="117"/>
      <c r="Q37" s="117"/>
    </row>
    <row r="38" spans="1:17" x14ac:dyDescent="0.35">
      <c r="A38">
        <f>IF((B38&gt;(Inputs!$B$7+Inputs!$B$8)),0,IF((B38&lt;Inputs!$B$7),0,((B38-Inputs!$B$7))))</f>
        <v>15</v>
      </c>
      <c r="B38" s="50">
        <f t="shared" si="5"/>
        <v>2042</v>
      </c>
      <c r="C38" s="72">
        <f t="shared" si="12"/>
        <v>4421837.2307762979</v>
      </c>
      <c r="D38" s="72">
        <f t="shared" si="6"/>
        <v>792979.68728614354</v>
      </c>
      <c r="E38" s="72">
        <f t="shared" si="7"/>
        <v>403174.1251349338</v>
      </c>
      <c r="F38" s="72">
        <f t="shared" si="8"/>
        <v>308872.82520909852</v>
      </c>
      <c r="G38" s="72">
        <f t="shared" si="9"/>
        <v>80492.426878877028</v>
      </c>
      <c r="H38" s="72">
        <f t="shared" si="10"/>
        <v>40077.58405351908</v>
      </c>
      <c r="I38" s="72">
        <f t="shared" si="4"/>
        <v>6047433.8793388698</v>
      </c>
      <c r="J38" s="72">
        <f t="shared" si="11"/>
        <v>1460534.423066875</v>
      </c>
      <c r="L38" s="117"/>
      <c r="M38" s="117"/>
      <c r="N38" s="117"/>
      <c r="O38" s="117"/>
      <c r="P38" s="117"/>
      <c r="Q38" s="117"/>
    </row>
    <row r="39" spans="1:17" x14ac:dyDescent="0.35">
      <c r="A39">
        <f>IF((B39&gt;(Inputs!$B$7+Inputs!$B$8)),0,IF((B39&lt;Inputs!$B$7),0,((B39-Inputs!$B$7))))</f>
        <v>16</v>
      </c>
      <c r="B39" s="50">
        <f t="shared" si="5"/>
        <v>2043</v>
      </c>
      <c r="C39" s="72">
        <f t="shared" si="12"/>
        <v>4510273.9753918238</v>
      </c>
      <c r="D39" s="72">
        <f t="shared" si="6"/>
        <v>808839.28103186644</v>
      </c>
      <c r="E39" s="72">
        <f t="shared" si="7"/>
        <v>411237.60763763246</v>
      </c>
      <c r="F39" s="72">
        <f t="shared" si="8"/>
        <v>315050.28171328048</v>
      </c>
      <c r="G39" s="72">
        <f t="shared" si="9"/>
        <v>82102.275416454577</v>
      </c>
      <c r="H39" s="72">
        <f t="shared" si="10"/>
        <v>40879.135734589465</v>
      </c>
      <c r="I39" s="72">
        <f t="shared" si="4"/>
        <v>6168382.5569256479</v>
      </c>
      <c r="J39" s="72">
        <f t="shared" si="11"/>
        <v>1392285.1509609465</v>
      </c>
      <c r="L39" s="117"/>
      <c r="M39" s="117"/>
      <c r="N39" s="117"/>
      <c r="O39" s="117"/>
      <c r="P39" s="117"/>
      <c r="Q39" s="117"/>
    </row>
    <row r="40" spans="1:17" x14ac:dyDescent="0.35">
      <c r="A40">
        <f>IF((B40&gt;(Inputs!$B$7+Inputs!$B$8)),0,IF((B40&lt;Inputs!$B$7),0,((B40-Inputs!$B$7))))</f>
        <v>17</v>
      </c>
      <c r="B40" s="50">
        <f t="shared" si="5"/>
        <v>2044</v>
      </c>
      <c r="C40" s="72">
        <f t="shared" si="12"/>
        <v>4600479.4548996603</v>
      </c>
      <c r="D40" s="72">
        <f t="shared" si="6"/>
        <v>825016.0666525038</v>
      </c>
      <c r="E40" s="72">
        <f t="shared" si="7"/>
        <v>419462.35979038512</v>
      </c>
      <c r="F40" s="72">
        <f t="shared" si="8"/>
        <v>321351.28734754608</v>
      </c>
      <c r="G40" s="72">
        <f t="shared" si="9"/>
        <v>83744.320924783664</v>
      </c>
      <c r="H40" s="72">
        <f t="shared" si="10"/>
        <v>41696.718449281252</v>
      </c>
      <c r="I40" s="72">
        <f t="shared" si="4"/>
        <v>6291750.2080641603</v>
      </c>
      <c r="J40" s="72">
        <f t="shared" si="11"/>
        <v>1327225.0971777246</v>
      </c>
      <c r="L40" s="117"/>
      <c r="M40" s="117"/>
      <c r="N40" s="117"/>
      <c r="O40" s="117"/>
      <c r="P40" s="117"/>
      <c r="Q40" s="117"/>
    </row>
    <row r="41" spans="1:17" x14ac:dyDescent="0.35">
      <c r="A41">
        <f>IF((B41&gt;(Inputs!$B$7+Inputs!$B$8)),0,IF((B41&lt;Inputs!$B$7),0,((B41-Inputs!$B$7))))</f>
        <v>18</v>
      </c>
      <c r="B41" s="50">
        <f t="shared" si="5"/>
        <v>2045</v>
      </c>
      <c r="C41" s="72">
        <f t="shared" si="12"/>
        <v>4692489.0439976538</v>
      </c>
      <c r="D41" s="72">
        <f t="shared" si="6"/>
        <v>841516.38798555394</v>
      </c>
      <c r="E41" s="72">
        <f t="shared" si="7"/>
        <v>427851.60698619281</v>
      </c>
      <c r="F41" s="72">
        <f t="shared" si="8"/>
        <v>327778.31309449702</v>
      </c>
      <c r="G41" s="72">
        <f t="shared" si="9"/>
        <v>85419.20734327934</v>
      </c>
      <c r="H41" s="72">
        <f t="shared" si="10"/>
        <v>42530.652818266877</v>
      </c>
      <c r="I41" s="72">
        <f t="shared" si="4"/>
        <v>6417585.2122254437</v>
      </c>
      <c r="J41" s="72">
        <f t="shared" si="11"/>
        <v>1265205.2328236252</v>
      </c>
      <c r="L41" s="117"/>
      <c r="M41" s="117"/>
      <c r="N41" s="117"/>
      <c r="O41" s="117"/>
      <c r="P41" s="117"/>
      <c r="Q41" s="117"/>
    </row>
    <row r="42" spans="1:17" x14ac:dyDescent="0.35">
      <c r="A42">
        <f>IF((B42&gt;(Inputs!$B$7+Inputs!$B$8)),0,IF((B42&lt;Inputs!$B$7),0,((B42-Inputs!$B$7))))</f>
        <v>19</v>
      </c>
      <c r="B42" s="50">
        <f t="shared" si="5"/>
        <v>2046</v>
      </c>
      <c r="C42" s="72">
        <f t="shared" si="12"/>
        <v>4786338.8248776067</v>
      </c>
      <c r="D42" s="72">
        <f t="shared" si="6"/>
        <v>858346.71574526501</v>
      </c>
      <c r="E42" s="72">
        <f t="shared" si="7"/>
        <v>436408.6391259167</v>
      </c>
      <c r="F42" s="72">
        <f t="shared" si="8"/>
        <v>334333.87935638695</v>
      </c>
      <c r="G42" s="72">
        <f t="shared" si="9"/>
        <v>87127.591490144929</v>
      </c>
      <c r="H42" s="72">
        <f t="shared" si="10"/>
        <v>43381.265874632212</v>
      </c>
      <c r="I42" s="72">
        <f t="shared" si="4"/>
        <v>6545936.916469953</v>
      </c>
      <c r="J42" s="72">
        <f t="shared" si="11"/>
        <v>1206083.4929720538</v>
      </c>
      <c r="L42" s="117"/>
      <c r="M42" s="117"/>
      <c r="N42" s="117"/>
      <c r="O42" s="117"/>
      <c r="P42" s="117"/>
      <c r="Q42" s="117"/>
    </row>
    <row r="43" spans="1:17" x14ac:dyDescent="0.35">
      <c r="A43">
        <f>IF((B43&gt;(Inputs!$B$7+Inputs!$B$8)),0,IF((B43&lt;Inputs!$B$7),0,((B43-Inputs!$B$7))))</f>
        <v>20</v>
      </c>
      <c r="B43" s="50">
        <f t="shared" si="5"/>
        <v>2047</v>
      </c>
      <c r="C43" s="72">
        <f t="shared" si="12"/>
        <v>4882065.6013751589</v>
      </c>
      <c r="D43" s="72">
        <f t="shared" si="6"/>
        <v>875513.65006017033</v>
      </c>
      <c r="E43" s="72">
        <f t="shared" si="7"/>
        <v>445136.81190843502</v>
      </c>
      <c r="F43" s="72">
        <f t="shared" si="8"/>
        <v>341020.55694351468</v>
      </c>
      <c r="G43" s="72">
        <f t="shared" si="9"/>
        <v>88870.143319947834</v>
      </c>
      <c r="H43" s="72">
        <f t="shared" si="10"/>
        <v>44248.891192124858</v>
      </c>
      <c r="I43" s="72">
        <f t="shared" si="4"/>
        <v>6676855.6547993515</v>
      </c>
      <c r="J43" s="72">
        <f t="shared" si="11"/>
        <v>1149724.4512443878</v>
      </c>
      <c r="L43" s="117"/>
      <c r="M43" s="117"/>
      <c r="N43" s="117"/>
      <c r="O43" s="117"/>
      <c r="P43" s="117"/>
      <c r="Q43" s="117"/>
    </row>
    <row r="44" spans="1:17" x14ac:dyDescent="0.35">
      <c r="B44" s="407" t="s">
        <v>176</v>
      </c>
      <c r="C44" s="408"/>
      <c r="D44" s="408"/>
      <c r="E44" s="408"/>
      <c r="F44" s="408"/>
      <c r="G44" s="408"/>
      <c r="H44" s="409"/>
      <c r="I44" s="73">
        <f>SUM(I24:I43)</f>
        <v>111359683.39476687</v>
      </c>
      <c r="J44" s="73">
        <f>SUM(J24:J43)</f>
        <v>37625202.804371253</v>
      </c>
    </row>
  </sheetData>
  <sheetProtection algorithmName="SHA-512" hashValue="fU82/4FFo8+fX/iBeTMEv1Uu3W1gGv6OMtGfPQ968g9AHmNM/Ua4P1w5sK2t4OBFx7nr9XLxnJm5spEDzIyz3Q==" saltValue="1O7+Ghbqd056euaH+RmMaw==" spinCount="100000" sheet="1" objects="1" scenarios="1"/>
  <mergeCells count="4">
    <mergeCell ref="S13:Y13"/>
    <mergeCell ref="B44:H44"/>
    <mergeCell ref="C22:H22"/>
    <mergeCell ref="L13:R13"/>
  </mergeCells>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13339-70A6-4A49-AFB8-2F9862F3B49D}">
  <dimension ref="A1:E41"/>
  <sheetViews>
    <sheetView topLeftCell="D20" workbookViewId="0">
      <selection activeCell="E12" sqref="E12"/>
    </sheetView>
  </sheetViews>
  <sheetFormatPr defaultRowHeight="14.5" x14ac:dyDescent="0.35"/>
  <cols>
    <col min="1" max="1" width="26.54296875" customWidth="1"/>
    <col min="2" max="2" width="16.54296875" customWidth="1"/>
    <col min="3" max="3" width="14" bestFit="1" customWidth="1"/>
    <col min="4" max="4" width="12.7265625" customWidth="1"/>
    <col min="5" max="5" width="13.54296875" customWidth="1"/>
  </cols>
  <sheetData>
    <row r="1" spans="1:5" x14ac:dyDescent="0.35">
      <c r="A1" s="5" t="s">
        <v>860</v>
      </c>
    </row>
    <row r="2" spans="1:5" x14ac:dyDescent="0.35">
      <c r="A2" s="7" t="s">
        <v>385</v>
      </c>
      <c r="B2" s="7">
        <f>Inputs!B3</f>
        <v>7.0000000000000007E-2</v>
      </c>
    </row>
    <row r="3" spans="1:5" x14ac:dyDescent="0.35">
      <c r="A3" t="s">
        <v>383</v>
      </c>
      <c r="B3">
        <f>Inputs!B10</f>
        <v>2021</v>
      </c>
    </row>
    <row r="4" spans="1:5" x14ac:dyDescent="0.35">
      <c r="A4" t="s">
        <v>539</v>
      </c>
      <c r="B4">
        <f>Inputs!B11</f>
        <v>2028</v>
      </c>
    </row>
    <row r="6" spans="1:5" x14ac:dyDescent="0.35">
      <c r="A6" t="s">
        <v>780</v>
      </c>
      <c r="B6" s="30">
        <f>Inputs!B55</f>
        <v>1</v>
      </c>
      <c r="C6" s="68"/>
      <c r="D6" s="118"/>
    </row>
    <row r="7" spans="1:5" x14ac:dyDescent="0.35">
      <c r="A7" t="s">
        <v>781</v>
      </c>
      <c r="B7" s="70">
        <v>0.01</v>
      </c>
      <c r="D7" s="118"/>
    </row>
    <row r="8" spans="1:5" x14ac:dyDescent="0.35">
      <c r="A8" s="139" t="s">
        <v>782</v>
      </c>
      <c r="B8" s="273">
        <v>2178</v>
      </c>
      <c r="D8" s="118" t="s">
        <v>783</v>
      </c>
    </row>
    <row r="9" spans="1:5" x14ac:dyDescent="0.35">
      <c r="A9" t="s">
        <v>784</v>
      </c>
      <c r="B9">
        <v>0.87</v>
      </c>
      <c r="D9" s="118" t="s">
        <v>783</v>
      </c>
    </row>
    <row r="12" spans="1:5" ht="43.5" x14ac:dyDescent="0.35">
      <c r="A12" s="29" t="s">
        <v>144</v>
      </c>
      <c r="B12" s="53" t="s">
        <v>145</v>
      </c>
      <c r="C12" s="54" t="s">
        <v>785</v>
      </c>
      <c r="D12" s="53" t="s">
        <v>786</v>
      </c>
      <c r="E12" s="53" t="s">
        <v>787</v>
      </c>
    </row>
    <row r="13" spans="1:5" x14ac:dyDescent="0.35">
      <c r="A13">
        <f>IF((B13&gt;(Inputs!$B$7+Inputs!$B$8)),0,IF((B13&lt;Inputs!$B$7),0,((B13-Inputs!$B$7))))</f>
        <v>0</v>
      </c>
      <c r="B13" s="50">
        <v>2020</v>
      </c>
      <c r="C13" s="131">
        <f>B6</f>
        <v>1</v>
      </c>
      <c r="D13" s="128">
        <f>SUM($B$8*$C13)*$B$9</f>
        <v>1894.86</v>
      </c>
      <c r="E13" s="128">
        <f>D13/((1+Inputs!$B$3)^($B13-Inputs!$B$10))</f>
        <v>2027.5001999999999</v>
      </c>
    </row>
    <row r="14" spans="1:5" x14ac:dyDescent="0.35">
      <c r="A14">
        <f>IF((B14&gt;(Inputs!$B$7+Inputs!$B$8)),0,IF((B14&lt;Inputs!$B$7),0,((B14-Inputs!$B$7))))</f>
        <v>0</v>
      </c>
      <c r="B14" s="50">
        <v>2021</v>
      </c>
      <c r="C14" s="131">
        <f t="shared" ref="C14:C40" si="0">C13*(1+$B$7)</f>
        <v>1.01</v>
      </c>
      <c r="D14" s="128">
        <f t="shared" ref="D14:D39" si="1">SUM($B$8*$C14)*$B$9</f>
        <v>1913.8086000000001</v>
      </c>
      <c r="E14" s="128">
        <f>D14/((1+Inputs!$B$3)^($B14-Inputs!$B$10))</f>
        <v>1913.8086000000001</v>
      </c>
    </row>
    <row r="15" spans="1:5" x14ac:dyDescent="0.35">
      <c r="A15">
        <f>IF((B15&gt;(Inputs!$B$7+Inputs!$B$8)),0,IF((B15&lt;Inputs!$B$7),0,((B15-Inputs!$B$7))))</f>
        <v>0</v>
      </c>
      <c r="B15" s="50">
        <v>2022</v>
      </c>
      <c r="C15" s="131">
        <f t="shared" si="0"/>
        <v>1.0201</v>
      </c>
      <c r="D15" s="128">
        <f t="shared" si="1"/>
        <v>1932.9466859999998</v>
      </c>
      <c r="E15" s="128">
        <f>D15/((1+Inputs!$B$3)^($B15-Inputs!$B$10))</f>
        <v>1806.4922299065418</v>
      </c>
    </row>
    <row r="16" spans="1:5" x14ac:dyDescent="0.35">
      <c r="A16">
        <f>IF((B16&gt;(Inputs!$B$7+Inputs!$B$8)),0,IF((B16&lt;Inputs!$B$7),0,((B16-Inputs!$B$7))))</f>
        <v>0</v>
      </c>
      <c r="B16" s="50">
        <v>2023</v>
      </c>
      <c r="C16" s="131">
        <f t="shared" si="0"/>
        <v>1.0303009999999999</v>
      </c>
      <c r="D16" s="128">
        <f t="shared" si="1"/>
        <v>1952.2761528599999</v>
      </c>
      <c r="E16" s="128">
        <f>D16/((1+Inputs!$B$3)^($B16-Inputs!$B$10))</f>
        <v>1705.1936001921565</v>
      </c>
    </row>
    <row r="17" spans="1:5" x14ac:dyDescent="0.35">
      <c r="A17">
        <f>IF((B17&gt;(Inputs!$B$7+Inputs!$B$8)),0,IF((B17&lt;Inputs!$B$7),0,((B17-Inputs!$B$7))))</f>
        <v>0</v>
      </c>
      <c r="B17" s="50">
        <v>2024</v>
      </c>
      <c r="C17" s="131">
        <f t="shared" si="0"/>
        <v>1.04060401</v>
      </c>
      <c r="D17" s="128">
        <f t="shared" si="1"/>
        <v>1971.7989143886002</v>
      </c>
      <c r="E17" s="128">
        <f>D17/((1+Inputs!$B$3)^($B17-Inputs!$B$10))</f>
        <v>1609.5752674711011</v>
      </c>
    </row>
    <row r="18" spans="1:5" x14ac:dyDescent="0.35">
      <c r="A18">
        <f>IF((B18&gt;(Inputs!$B$7+Inputs!$B$8)),0,IF((B18&lt;Inputs!$B$7),0,((B18-Inputs!$B$7))))</f>
        <v>0</v>
      </c>
      <c r="B18" s="50">
        <v>2025</v>
      </c>
      <c r="C18" s="131">
        <f t="shared" si="0"/>
        <v>1.0510100500999999</v>
      </c>
      <c r="D18" s="128">
        <f t="shared" si="1"/>
        <v>1991.5169035324857</v>
      </c>
      <c r="E18" s="128">
        <f>D18/((1+Inputs!$B$3)^($B18-Inputs!$B$10))</f>
        <v>1519.3187104166466</v>
      </c>
    </row>
    <row r="19" spans="1:5" x14ac:dyDescent="0.35">
      <c r="A19">
        <f>IF((B19&gt;(Inputs!$B$7+Inputs!$B$8)),0,IF((B19&lt;Inputs!$B$7),0,((B19-Inputs!$B$7))))</f>
        <v>0</v>
      </c>
      <c r="B19" s="50">
        <v>2026</v>
      </c>
      <c r="C19" s="131">
        <f t="shared" si="0"/>
        <v>1.0615201506009999</v>
      </c>
      <c r="D19" s="128">
        <f t="shared" si="1"/>
        <v>2011.4320725678108</v>
      </c>
      <c r="E19" s="128">
        <f>D19/((1+Inputs!$B$3)^($B19-Inputs!$B$10))</f>
        <v>1434.1232687110403</v>
      </c>
    </row>
    <row r="20" spans="1:5" x14ac:dyDescent="0.35">
      <c r="A20">
        <f>IF((B20&gt;(Inputs!$B$7+Inputs!$B$8)),0,IF((B20&lt;Inputs!$B$7),0,((B20-Inputs!$B$7))))</f>
        <v>0</v>
      </c>
      <c r="B20" s="50">
        <v>2027</v>
      </c>
      <c r="C20" s="131">
        <f t="shared" si="0"/>
        <v>1.0721353521070098</v>
      </c>
      <c r="D20" s="128">
        <f t="shared" si="1"/>
        <v>2031.5463932934886</v>
      </c>
      <c r="E20" s="128">
        <f>D20/((1+Inputs!$B$3)^($B20-Inputs!$B$10))</f>
        <v>1353.7051414935986</v>
      </c>
    </row>
    <row r="21" spans="1:5" x14ac:dyDescent="0.35">
      <c r="A21">
        <f>IF((B21&gt;(Inputs!$B$7+Inputs!$B$8)),0,IF((B21&lt;Inputs!$B$7),0,((B21-Inputs!$B$7))))</f>
        <v>1</v>
      </c>
      <c r="B21" s="50">
        <v>2028</v>
      </c>
      <c r="C21" s="131">
        <f t="shared" si="0"/>
        <v>1.08285670562808</v>
      </c>
      <c r="D21" s="128">
        <f t="shared" si="1"/>
        <v>2051.861857226424</v>
      </c>
      <c r="E21" s="128">
        <f t="shared" ref="E21:E40" si="2">D21/((1+$B$2)^($B21-$B$3))</f>
        <v>1277.7964419705934</v>
      </c>
    </row>
    <row r="22" spans="1:5" x14ac:dyDescent="0.35">
      <c r="A22">
        <f>IF((B22&gt;(Inputs!$B$7+Inputs!$B$8)),0,IF((B22&lt;Inputs!$B$7),0,((B22-Inputs!$B$7))))</f>
        <v>2</v>
      </c>
      <c r="B22" s="50">
        <v>2029</v>
      </c>
      <c r="C22" s="131">
        <f t="shared" si="0"/>
        <v>1.0936852726843609</v>
      </c>
      <c r="D22" s="128">
        <f t="shared" si="1"/>
        <v>2072.3804757986882</v>
      </c>
      <c r="E22" s="128">
        <f t="shared" si="2"/>
        <v>1206.1443050376629</v>
      </c>
    </row>
    <row r="23" spans="1:5" x14ac:dyDescent="0.35">
      <c r="A23">
        <f>IF((B23&gt;(Inputs!$B$7+Inputs!$B$8)),0,IF((B23&lt;Inputs!$B$7),0,((B23-Inputs!$B$7))))</f>
        <v>3</v>
      </c>
      <c r="B23" s="50">
        <v>2030</v>
      </c>
      <c r="C23" s="131">
        <f t="shared" si="0"/>
        <v>1.1046221254112045</v>
      </c>
      <c r="D23" s="128">
        <f t="shared" si="1"/>
        <v>2093.1042805566749</v>
      </c>
      <c r="E23" s="128">
        <f t="shared" si="2"/>
        <v>1138.5100449420927</v>
      </c>
    </row>
    <row r="24" spans="1:5" x14ac:dyDescent="0.35">
      <c r="A24">
        <f>IF((B24&gt;(Inputs!$B$7+Inputs!$B$8)),0,IF((B24&lt;Inputs!$B$7),0,((B24-Inputs!$B$7))))</f>
        <v>4</v>
      </c>
      <c r="B24" s="50">
        <v>2031</v>
      </c>
      <c r="C24" s="131">
        <f t="shared" si="0"/>
        <v>1.1156683466653166</v>
      </c>
      <c r="D24" s="128">
        <f t="shared" si="1"/>
        <v>2114.0353233622418</v>
      </c>
      <c r="E24" s="128">
        <f t="shared" si="2"/>
        <v>1074.6683601789848</v>
      </c>
    </row>
    <row r="25" spans="1:5" x14ac:dyDescent="0.35">
      <c r="A25">
        <f>IF((B25&gt;(Inputs!$B$7+Inputs!$B$8)),0,IF((B25&lt;Inputs!$B$7),0,((B25-Inputs!$B$7))))</f>
        <v>5</v>
      </c>
      <c r="B25" s="50">
        <v>2032</v>
      </c>
      <c r="C25" s="131">
        <f t="shared" si="0"/>
        <v>1.1268250301319698</v>
      </c>
      <c r="D25" s="128">
        <f t="shared" si="1"/>
        <v>2135.1756765958644</v>
      </c>
      <c r="E25" s="128">
        <f t="shared" si="2"/>
        <v>1014.4065829726866</v>
      </c>
    </row>
    <row r="26" spans="1:5" x14ac:dyDescent="0.35">
      <c r="A26">
        <f>IF((B26&gt;(Inputs!$B$7+Inputs!$B$8)),0,IF((B26&lt;Inputs!$B$7),0,((B26-Inputs!$B$7))))</f>
        <v>6</v>
      </c>
      <c r="B26" s="50">
        <v>2033</v>
      </c>
      <c r="C26" s="131">
        <f t="shared" si="0"/>
        <v>1.1380932804332895</v>
      </c>
      <c r="D26" s="128">
        <f t="shared" si="1"/>
        <v>2156.5274333618231</v>
      </c>
      <c r="E26" s="128">
        <f t="shared" si="2"/>
        <v>957.52397084337724</v>
      </c>
    </row>
    <row r="27" spans="1:5" x14ac:dyDescent="0.35">
      <c r="A27">
        <f>IF((B27&gt;(Inputs!$B$7+Inputs!$B$8)),0,IF((B27&lt;Inputs!$B$7),0,((B27-Inputs!$B$7))))</f>
        <v>7</v>
      </c>
      <c r="B27" s="50">
        <v>2034</v>
      </c>
      <c r="C27" s="131">
        <f t="shared" si="0"/>
        <v>1.1494742132376223</v>
      </c>
      <c r="D27" s="128">
        <f t="shared" si="1"/>
        <v>2178.0927076954408</v>
      </c>
      <c r="E27" s="128">
        <f t="shared" si="2"/>
        <v>903.83103789888855</v>
      </c>
    </row>
    <row r="28" spans="1:5" x14ac:dyDescent="0.35">
      <c r="A28">
        <f>IF((B28&gt;(Inputs!$B$7+Inputs!$B$8)),0,IF((B28&lt;Inputs!$B$7),0,((B28-Inputs!$B$7))))</f>
        <v>8</v>
      </c>
      <c r="B28" s="50">
        <v>2035</v>
      </c>
      <c r="C28" s="131">
        <f t="shared" si="0"/>
        <v>1.1609689553699987</v>
      </c>
      <c r="D28" s="128">
        <f t="shared" si="1"/>
        <v>2199.8736347723957</v>
      </c>
      <c r="E28" s="128">
        <f t="shared" si="2"/>
        <v>853.1489236241847</v>
      </c>
    </row>
    <row r="29" spans="1:5" x14ac:dyDescent="0.35">
      <c r="A29">
        <f>IF((B29&gt;(Inputs!$B$7+Inputs!$B$8)),0,IF((B29&lt;Inputs!$B$7),0,((B29-Inputs!$B$7))))</f>
        <v>9</v>
      </c>
      <c r="B29" s="50">
        <v>2036</v>
      </c>
      <c r="C29" s="131">
        <f t="shared" si="0"/>
        <v>1.1725786449236986</v>
      </c>
      <c r="D29" s="128">
        <f t="shared" si="1"/>
        <v>2221.8723711201192</v>
      </c>
      <c r="E29" s="128">
        <f t="shared" si="2"/>
        <v>805.30879706581902</v>
      </c>
    </row>
    <row r="30" spans="1:5" x14ac:dyDescent="0.35">
      <c r="A30">
        <f>IF((B30&gt;(Inputs!$B$7+Inputs!$B$8)),0,IF((B30&lt;Inputs!$B$7),0,((B30-Inputs!$B$7))))</f>
        <v>10</v>
      </c>
      <c r="B30" s="50">
        <v>2037</v>
      </c>
      <c r="C30" s="131">
        <f t="shared" si="0"/>
        <v>1.1843044313729356</v>
      </c>
      <c r="D30" s="128">
        <f t="shared" si="1"/>
        <v>2244.0910948313208</v>
      </c>
      <c r="E30" s="128">
        <f t="shared" si="2"/>
        <v>760.15129442661441</v>
      </c>
    </row>
    <row r="31" spans="1:5" x14ac:dyDescent="0.35">
      <c r="A31">
        <f>IF((B31&gt;(Inputs!$B$7+Inputs!$B$8)),0,IF((B31&lt;Inputs!$B$7),0,((B31-Inputs!$B$7))))</f>
        <v>11</v>
      </c>
      <c r="B31" s="50">
        <v>2038</v>
      </c>
      <c r="C31" s="131">
        <f t="shared" si="0"/>
        <v>1.196147475686665</v>
      </c>
      <c r="D31" s="128">
        <f t="shared" si="1"/>
        <v>2266.5320057796343</v>
      </c>
      <c r="E31" s="128">
        <f t="shared" si="2"/>
        <v>717.52598819708476</v>
      </c>
    </row>
    <row r="32" spans="1:5" x14ac:dyDescent="0.35">
      <c r="A32">
        <f>IF((B32&gt;(Inputs!$B$7+Inputs!$B$8)),0,IF((B32&lt;Inputs!$B$7),0,((B32-Inputs!$B$7))))</f>
        <v>12</v>
      </c>
      <c r="B32" s="50">
        <v>2039</v>
      </c>
      <c r="C32" s="131">
        <f t="shared" si="0"/>
        <v>1.2081089504435316</v>
      </c>
      <c r="D32" s="128">
        <f t="shared" si="1"/>
        <v>2289.1973258374305</v>
      </c>
      <c r="E32" s="128">
        <f t="shared" si="2"/>
        <v>677.29088605519212</v>
      </c>
    </row>
    <row r="33" spans="1:5" x14ac:dyDescent="0.35">
      <c r="A33">
        <f>IF((B33&gt;(Inputs!$B$7+Inputs!$B$8)),0,IF((B33&lt;Inputs!$B$7),0,((B33-Inputs!$B$7))))</f>
        <v>13</v>
      </c>
      <c r="B33" s="50">
        <v>2040</v>
      </c>
      <c r="C33" s="131">
        <f t="shared" si="0"/>
        <v>1.220190039947967</v>
      </c>
      <c r="D33" s="128">
        <f t="shared" si="1"/>
        <v>2312.0892990958046</v>
      </c>
      <c r="E33" s="128">
        <f t="shared" si="2"/>
        <v>639.31195786518117</v>
      </c>
    </row>
    <row r="34" spans="1:5" x14ac:dyDescent="0.35">
      <c r="A34">
        <f>IF((B34&gt;(Inputs!$B$7+Inputs!$B$8)),0,IF((B34&lt;Inputs!$B$7),0,((B34-Inputs!$B$7))))</f>
        <v>14</v>
      </c>
      <c r="B34" s="50">
        <v>2041</v>
      </c>
      <c r="C34" s="131">
        <f t="shared" si="0"/>
        <v>1.2323919403474468</v>
      </c>
      <c r="D34" s="128">
        <f t="shared" si="1"/>
        <v>2335.2101920867631</v>
      </c>
      <c r="E34" s="128">
        <f t="shared" si="2"/>
        <v>603.46268919984414</v>
      </c>
    </row>
    <row r="35" spans="1:5" x14ac:dyDescent="0.35">
      <c r="A35">
        <f>IF((B35&gt;(Inputs!$B$7+Inputs!$B$8)),0,IF((B35&lt;Inputs!$B$7),0,((B35-Inputs!$B$7))))</f>
        <v>15</v>
      </c>
      <c r="B35" s="50">
        <v>2042</v>
      </c>
      <c r="C35" s="131">
        <f t="shared" si="0"/>
        <v>1.2447158597509214</v>
      </c>
      <c r="D35" s="128">
        <f t="shared" si="1"/>
        <v>2358.562294007631</v>
      </c>
      <c r="E35" s="128">
        <f t="shared" si="2"/>
        <v>569.62365989891828</v>
      </c>
    </row>
    <row r="36" spans="1:5" x14ac:dyDescent="0.35">
      <c r="A36">
        <f>IF((B36&gt;(Inputs!$B$7+Inputs!$B$8)),0,IF((B36&lt;Inputs!$B$7),0,((B36-Inputs!$B$7))))</f>
        <v>16</v>
      </c>
      <c r="B36" s="50">
        <v>2043</v>
      </c>
      <c r="C36" s="131">
        <f t="shared" si="0"/>
        <v>1.2571630183484306</v>
      </c>
      <c r="D36" s="128">
        <f t="shared" si="1"/>
        <v>2382.1479169477075</v>
      </c>
      <c r="E36" s="128">
        <f t="shared" si="2"/>
        <v>537.68214625972666</v>
      </c>
    </row>
    <row r="37" spans="1:5" x14ac:dyDescent="0.35">
      <c r="A37">
        <f>IF((B37&gt;(Inputs!$B$7+Inputs!$B$8)),0,IF((B37&lt;Inputs!$B$7),0,((B37-Inputs!$B$7))))</f>
        <v>17</v>
      </c>
      <c r="B37" s="50">
        <v>2044</v>
      </c>
      <c r="C37" s="131">
        <f t="shared" si="0"/>
        <v>1.269734648531915</v>
      </c>
      <c r="D37" s="128">
        <f t="shared" si="1"/>
        <v>2405.9693961171843</v>
      </c>
      <c r="E37" s="128">
        <f t="shared" si="2"/>
        <v>507.53174553488208</v>
      </c>
    </row>
    <row r="38" spans="1:5" x14ac:dyDescent="0.35">
      <c r="A38">
        <f>IF((B38&gt;(Inputs!$B$7+Inputs!$B$8)),0,IF((B38&lt;Inputs!$B$7),0,((B38-Inputs!$B$7))))</f>
        <v>18</v>
      </c>
      <c r="B38" s="50">
        <v>2045</v>
      </c>
      <c r="C38" s="131">
        <f t="shared" si="0"/>
        <v>1.282431995017234</v>
      </c>
      <c r="D38" s="128">
        <f t="shared" si="1"/>
        <v>2430.0290900783561</v>
      </c>
      <c r="E38" s="128">
        <f t="shared" si="2"/>
        <v>479.07202148619712</v>
      </c>
    </row>
    <row r="39" spans="1:5" x14ac:dyDescent="0.35">
      <c r="A39">
        <f>IF((B39&gt;(Inputs!$B$7+Inputs!$B$8)),0,IF((B39&lt;Inputs!$B$7),0,((B39-Inputs!$B$7))))</f>
        <v>19</v>
      </c>
      <c r="B39" s="50">
        <v>2046</v>
      </c>
      <c r="C39" s="131">
        <f t="shared" si="0"/>
        <v>1.2952563149674063</v>
      </c>
      <c r="D39" s="128">
        <f t="shared" si="1"/>
        <v>2454.3293809791398</v>
      </c>
      <c r="E39" s="128">
        <f t="shared" si="2"/>
        <v>452.20816981407393</v>
      </c>
    </row>
    <row r="40" spans="1:5" x14ac:dyDescent="0.35">
      <c r="A40">
        <f>IF((B40&gt;(Inputs!$B$7+Inputs!$B$8)),0,IF((B40&lt;Inputs!$B$7),0,((B40-Inputs!$B$7))))</f>
        <v>20</v>
      </c>
      <c r="B40" s="50">
        <v>2047</v>
      </c>
      <c r="C40" s="131">
        <f t="shared" si="0"/>
        <v>1.3082088781170804</v>
      </c>
      <c r="D40" s="128">
        <f>SUM($B$8*$C40)*$B$9</f>
        <v>2478.8726747889309</v>
      </c>
      <c r="E40" s="128">
        <f t="shared" si="2"/>
        <v>426.85070234786411</v>
      </c>
    </row>
    <row r="41" spans="1:5" x14ac:dyDescent="0.35">
      <c r="B41" s="51" t="s">
        <v>536</v>
      </c>
      <c r="C41" s="55"/>
      <c r="D41" s="56">
        <f>SUM(D21:D40)</f>
        <v>45179.954431039587</v>
      </c>
      <c r="E41" s="56">
        <f>SUM(E21:E40)</f>
        <v>15602.049725619867</v>
      </c>
    </row>
  </sheetData>
  <sheetProtection algorithmName="SHA-512" hashValue="CjoNTI+NiFyXahH5Ljvax5MVXyza/8vUl/xqfMMz1TUVetLwWo0k9kf8HR6OA/2uLFsn3gbkAuvlXg0jjWoZ4Q==" saltValue="RUPMkdtxDc+jFbND1TtLSA==" spinCount="100000" sheet="1" objects="1" scenarios="1"/>
  <hyperlinks>
    <hyperlink ref="D9" r:id="rId1" display="https://codot.gov/programs/research/pdfs/2022/wildlife-prioritization/eswps-bca-instructions" xr:uid="{10A24F8C-4E5A-42B5-889B-BB1A36127EC3}"/>
    <hyperlink ref="D8" r:id="rId2" display="https://codot.gov/programs/research/pdfs/2022/wildlife-prioritization/eswps-bca-instructions" xr:uid="{12308F57-2DE2-40BB-B28E-3681B1038AF1}"/>
  </hyperlinks>
  <pageMargins left="0.7" right="0.7" top="0.75" bottom="0.75" header="0.3" footer="0.3"/>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T38"/>
  <sheetViews>
    <sheetView topLeftCell="A10" workbookViewId="0">
      <selection activeCell="E12" sqref="E12"/>
    </sheetView>
  </sheetViews>
  <sheetFormatPr defaultRowHeight="14.5" x14ac:dyDescent="0.35"/>
  <cols>
    <col min="1" max="1" width="32.7265625" style="9" customWidth="1"/>
    <col min="2" max="2" width="10.26953125" customWidth="1"/>
    <col min="3" max="3" width="11.453125" customWidth="1"/>
    <col min="4" max="4" width="14" customWidth="1"/>
    <col min="5" max="6" width="14.54296875" customWidth="1"/>
    <col min="7" max="7" width="8.26953125" customWidth="1"/>
    <col min="8" max="8" width="11" customWidth="1"/>
    <col min="9" max="9" width="11.54296875" bestFit="1" customWidth="1"/>
    <col min="10" max="10" width="14.54296875" customWidth="1"/>
    <col min="11" max="11" width="15.7265625" customWidth="1"/>
    <col min="12" max="12" width="18" customWidth="1"/>
    <col min="13" max="13" width="8.54296875" customWidth="1"/>
    <col min="14" max="14" width="10.54296875" customWidth="1"/>
    <col min="15" max="15" width="14.54296875" customWidth="1"/>
    <col min="16" max="16" width="15.7265625" customWidth="1"/>
    <col min="17" max="17" width="18" customWidth="1"/>
    <col min="18" max="18" width="17.26953125" customWidth="1"/>
    <col min="19" max="19" width="18.26953125" customWidth="1"/>
    <col min="20" max="20" width="14.54296875" customWidth="1"/>
    <col min="21" max="21" width="15.7265625" customWidth="1"/>
    <col min="22" max="22" width="18" customWidth="1"/>
    <col min="23" max="23" width="17.26953125" customWidth="1"/>
    <col min="24" max="24" width="18.26953125" customWidth="1"/>
    <col min="25" max="25" width="14.54296875" customWidth="1"/>
    <col min="26" max="26" width="15.7265625" customWidth="1"/>
    <col min="27" max="27" width="18" customWidth="1"/>
    <col min="28" max="28" width="17.26953125" customWidth="1"/>
    <col min="29" max="29" width="18.26953125" customWidth="1"/>
    <col min="30" max="30" width="14.54296875" customWidth="1"/>
    <col min="31" max="31" width="15.7265625" customWidth="1"/>
    <col min="32" max="32" width="18" customWidth="1"/>
    <col min="33" max="33" width="17.26953125" customWidth="1"/>
    <col min="34" max="34" width="18.26953125" customWidth="1"/>
    <col min="35" max="35" width="14.54296875" customWidth="1"/>
    <col min="36" max="36" width="15.7265625" customWidth="1"/>
    <col min="37" max="37" width="18" customWidth="1"/>
    <col min="38" max="38" width="17.26953125" customWidth="1"/>
    <col min="39" max="39" width="18.26953125" customWidth="1"/>
    <col min="40" max="40" width="14.54296875" customWidth="1"/>
    <col min="41" max="41" width="15.7265625" customWidth="1"/>
    <col min="42" max="42" width="18" customWidth="1"/>
    <col min="43" max="43" width="17.26953125" customWidth="1"/>
    <col min="44" max="44" width="18.26953125" customWidth="1"/>
    <col min="45" max="45" width="14.54296875" customWidth="1"/>
    <col min="46" max="46" width="15.7265625" customWidth="1"/>
    <col min="47" max="47" width="18" customWidth="1"/>
    <col min="48" max="48" width="17.26953125" customWidth="1"/>
    <col min="49" max="49" width="18.26953125" customWidth="1"/>
    <col min="50" max="50" width="14.54296875" customWidth="1"/>
    <col min="51" max="51" width="15.7265625" customWidth="1"/>
    <col min="52" max="52" width="18" customWidth="1"/>
    <col min="53" max="53" width="17.26953125" customWidth="1"/>
    <col min="54" max="54" width="18.26953125" customWidth="1"/>
    <col min="55" max="55" width="14.54296875" customWidth="1"/>
    <col min="56" max="56" width="15.7265625" customWidth="1"/>
    <col min="57" max="57" width="18" customWidth="1"/>
    <col min="58" max="58" width="17.26953125" customWidth="1"/>
    <col min="59" max="59" width="18.26953125" customWidth="1"/>
    <col min="60" max="60" width="14.54296875" customWidth="1"/>
    <col min="61" max="61" width="15.7265625" customWidth="1"/>
    <col min="62" max="62" width="18" customWidth="1"/>
    <col min="63" max="63" width="17.26953125" customWidth="1"/>
    <col min="64" max="64" width="18.26953125" customWidth="1"/>
    <col min="65" max="65" width="14.54296875" customWidth="1"/>
    <col min="66" max="66" width="15.7265625" customWidth="1"/>
  </cols>
  <sheetData>
    <row r="1" spans="1:46" x14ac:dyDescent="0.35">
      <c r="A1" s="5" t="s">
        <v>350</v>
      </c>
    </row>
    <row r="2" spans="1:46" x14ac:dyDescent="0.35">
      <c r="A2" t="s">
        <v>351</v>
      </c>
    </row>
    <row r="4" spans="1:46" x14ac:dyDescent="0.35">
      <c r="A4" s="217" t="str">
        <f>Inputs!A3</f>
        <v xml:space="preserve">Discount Rate </v>
      </c>
      <c r="B4" s="217">
        <f>Inputs!B3</f>
        <v>7.0000000000000007E-2</v>
      </c>
    </row>
    <row r="5" spans="1:46" x14ac:dyDescent="0.35">
      <c r="A5" s="88" t="str">
        <f>Inputs!A10</f>
        <v>Discount year</v>
      </c>
      <c r="B5" s="88">
        <f>Inputs!B10</f>
        <v>2021</v>
      </c>
    </row>
    <row r="6" spans="1:46" x14ac:dyDescent="0.35">
      <c r="A6" s="88" t="str">
        <f>Inputs!A11</f>
        <v>Benefit Year</v>
      </c>
      <c r="B6" s="88">
        <f>Inputs!B11</f>
        <v>2028</v>
      </c>
    </row>
    <row r="7" spans="1:46" x14ac:dyDescent="0.35">
      <c r="A7" s="218" t="str">
        <f>Inputs!A31</f>
        <v>Value of Time (2021$), all purposes</v>
      </c>
      <c r="B7" s="219">
        <f>Inputs!B31</f>
        <v>18.8</v>
      </c>
    </row>
    <row r="8" spans="1:46" ht="29" x14ac:dyDescent="0.35">
      <c r="A8" s="218" t="str">
        <f>Inputs!A32</f>
        <v>Value of Time, (2021$), truck driver per hour</v>
      </c>
      <c r="B8" s="219">
        <f>Inputs!B32</f>
        <v>32.4</v>
      </c>
    </row>
    <row r="9" spans="1:46" ht="29" x14ac:dyDescent="0.35">
      <c r="A9" s="218" t="str">
        <f>Inputs!A33</f>
        <v>Truck operating costs per hour (2021$)</v>
      </c>
      <c r="B9" s="219">
        <f>Inputs!B33</f>
        <v>49.140000000000008</v>
      </c>
    </row>
    <row r="10" spans="1:46" ht="29" x14ac:dyDescent="0.35">
      <c r="A10" s="220" t="str">
        <f>Inputs!A19</f>
        <v>Average Corridor Travel Time Savings (hr per veh)</v>
      </c>
      <c r="B10" s="221">
        <f>Inputs!B19</f>
        <v>0.11666666666666667</v>
      </c>
      <c r="C10" s="31"/>
    </row>
    <row r="11" spans="1:46" ht="29" x14ac:dyDescent="0.35">
      <c r="A11" s="218" t="str">
        <f>Inputs!A25</f>
        <v>Average Passenger Vehicle Occupancy, all travel</v>
      </c>
      <c r="B11" s="26">
        <f>Inputs!B25</f>
        <v>1.67</v>
      </c>
    </row>
    <row r="12" spans="1:46" x14ac:dyDescent="0.35">
      <c r="A12" s="218" t="str">
        <f>Inputs!$A$14</f>
        <v>Annualization Factor</v>
      </c>
      <c r="B12" s="26">
        <f>Inputs!$B$14</f>
        <v>320</v>
      </c>
    </row>
    <row r="13" spans="1:46" x14ac:dyDescent="0.35">
      <c r="A13" s="30"/>
      <c r="B13" s="30"/>
    </row>
    <row r="14" spans="1:46" x14ac:dyDescent="0.35">
      <c r="AS14" s="7"/>
      <c r="AT14" s="7"/>
    </row>
    <row r="15" spans="1:46" x14ac:dyDescent="0.35">
      <c r="B15" t="s">
        <v>352</v>
      </c>
      <c r="C15" s="68"/>
      <c r="F15" s="7"/>
      <c r="H15" t="s">
        <v>353</v>
      </c>
      <c r="I15" s="68"/>
      <c r="L15" s="7"/>
      <c r="N15" t="s">
        <v>354</v>
      </c>
    </row>
    <row r="16" spans="1:46" ht="58" x14ac:dyDescent="0.35">
      <c r="A16" s="71" t="s">
        <v>144</v>
      </c>
      <c r="B16" s="53" t="s">
        <v>145</v>
      </c>
      <c r="C16" s="53" t="s">
        <v>355</v>
      </c>
      <c r="D16" s="53" t="s">
        <v>356</v>
      </c>
      <c r="E16" s="54" t="s">
        <v>357</v>
      </c>
      <c r="F16" s="53" t="s">
        <v>348</v>
      </c>
      <c r="H16" s="53" t="s">
        <v>145</v>
      </c>
      <c r="I16" s="53" t="s">
        <v>358</v>
      </c>
      <c r="J16" s="53" t="s">
        <v>356</v>
      </c>
      <c r="K16" s="54" t="s">
        <v>359</v>
      </c>
      <c r="L16" s="53" t="s">
        <v>348</v>
      </c>
      <c r="N16" s="53" t="s">
        <v>145</v>
      </c>
      <c r="O16" s="53" t="s">
        <v>358</v>
      </c>
      <c r="P16" s="53" t="s">
        <v>360</v>
      </c>
      <c r="Q16" s="54" t="s">
        <v>361</v>
      </c>
      <c r="R16" s="53" t="s">
        <v>362</v>
      </c>
    </row>
    <row r="17" spans="1:18" x14ac:dyDescent="0.35">
      <c r="A17" s="110">
        <f>IF((B17&gt;(Inputs!$B$7+Inputs!$B$8)),0,IF((B17&lt;Inputs!$B$7),0,((B17-Inputs!$B$7))))</f>
        <v>1</v>
      </c>
      <c r="B17" s="50">
        <f>B6</f>
        <v>2028</v>
      </c>
      <c r="C17" s="334">
        <f>VLOOKUP(B17,TrafficData!B1:E47,4,0)</f>
        <v>5644.4690679784153</v>
      </c>
      <c r="D17" s="97">
        <f>SUM(C17*$B$11)*$B$10*$B$12</f>
        <v>351913.83149156091</v>
      </c>
      <c r="E17" s="72">
        <f>SUM(D17*$B$7)</f>
        <v>6615980.0320413457</v>
      </c>
      <c r="F17" s="72">
        <f>ROUND($E17/((1+B$4)^($B17-$B$5)),0)</f>
        <v>4120100</v>
      </c>
      <c r="H17" s="50">
        <f>B17</f>
        <v>2028</v>
      </c>
      <c r="I17" s="334">
        <f>_xlfn.XLOOKUP(H17,TrafficData!$B$8:$B$48,TrafficData!$D$8:$D$48)</f>
        <v>360.28525965819671</v>
      </c>
      <c r="J17" s="97">
        <f>I17*$B$10*$B$12</f>
        <v>13450.649693906013</v>
      </c>
      <c r="K17" s="72">
        <f>J17*($B$8)</f>
        <v>435801.05008255481</v>
      </c>
      <c r="L17" s="72">
        <f>ROUND($K17/((1+B$4)^($H17-$B$5)),0)</f>
        <v>271395</v>
      </c>
      <c r="N17" s="50">
        <f>H17</f>
        <v>2028</v>
      </c>
      <c r="O17" s="97">
        <f>I17</f>
        <v>360.28525965819671</v>
      </c>
      <c r="P17" s="97">
        <f>J17</f>
        <v>13450.649693906013</v>
      </c>
      <c r="Q17" s="72">
        <f>P17*($B$9)</f>
        <v>660964.92595854157</v>
      </c>
      <c r="R17" s="72">
        <f>ROUND($Q17/((1+B$4)^($N17-$B$5)),0)</f>
        <v>411616</v>
      </c>
    </row>
    <row r="18" spans="1:18" x14ac:dyDescent="0.35">
      <c r="A18" s="110">
        <f>IF((B18&gt;(Inputs!$B$7+Inputs!$B$8)),0,IF((B18&lt;Inputs!$B$7),0,((B18-Inputs!$B$7))))</f>
        <v>2</v>
      </c>
      <c r="B18" s="50">
        <f>B17+1</f>
        <v>2029</v>
      </c>
      <c r="C18" s="97">
        <f>VLOOKUP(B18,TrafficData!B2:E48,4,0)</f>
        <v>5757.358449337984</v>
      </c>
      <c r="D18" s="97">
        <f t="shared" ref="D18:D36" si="0">SUM(C18*$B$11)*$B$10*$B$12</f>
        <v>358952.10812139214</v>
      </c>
      <c r="E18" s="72">
        <f t="shared" ref="E18:E36" si="1">SUM(D18*$B$7)</f>
        <v>6748299.6326821726</v>
      </c>
      <c r="F18" s="72">
        <f t="shared" ref="F18:F36" si="2">ROUND($E18/((1+B$4)^($B18-$B$5)),0)</f>
        <v>3927572</v>
      </c>
      <c r="H18" s="50">
        <f>H17+1</f>
        <v>2029</v>
      </c>
      <c r="I18" s="334">
        <f>_xlfn.XLOOKUP(H18,TrafficData!$B$8:$B$48,TrafficData!$D$8:$D$48)</f>
        <v>367.49096485136067</v>
      </c>
      <c r="J18" s="97">
        <f t="shared" ref="J18:J36" si="3">I18*$B$10*$B$12</f>
        <v>13719.662687784132</v>
      </c>
      <c r="K18" s="72">
        <f t="shared" ref="K18:K36" si="4">J18*($B$8)</f>
        <v>444517.07108420588</v>
      </c>
      <c r="L18" s="72">
        <f t="shared" ref="L18:L36" si="5">ROUND($K18/((1+B$4)^($H18-$B$5)),0)</f>
        <v>258713</v>
      </c>
      <c r="N18" s="50">
        <f>N17+1</f>
        <v>2029</v>
      </c>
      <c r="O18" s="97">
        <f t="shared" ref="O18:O36" si="6">I18</f>
        <v>367.49096485136067</v>
      </c>
      <c r="P18" s="97">
        <f t="shared" ref="P18:P36" si="7">J18</f>
        <v>13719.662687784132</v>
      </c>
      <c r="Q18" s="72">
        <f t="shared" ref="Q18:Q36" si="8">P18*($B$9)</f>
        <v>674184.2244777123</v>
      </c>
      <c r="R18" s="72">
        <f t="shared" ref="R18:R36" si="9">ROUND($Q18/((1+B$4)^($N18-$B$5)),0)</f>
        <v>392381</v>
      </c>
    </row>
    <row r="19" spans="1:18" x14ac:dyDescent="0.35">
      <c r="A19" s="110">
        <f>IF((B19&gt;(Inputs!$B$7+Inputs!$B$8)),0,IF((B19&lt;Inputs!$B$7),0,((B19-Inputs!$B$7))))</f>
        <v>3</v>
      </c>
      <c r="B19" s="50">
        <f t="shared" ref="B19:B36" si="10">B18+1</f>
        <v>2030</v>
      </c>
      <c r="C19" s="97">
        <f>VLOOKUP(B19,TrafficData!B3:E49,4,0)</f>
        <v>5872.5056183247434</v>
      </c>
      <c r="D19" s="97">
        <f t="shared" si="0"/>
        <v>366131.15028382</v>
      </c>
      <c r="E19" s="72">
        <f t="shared" si="1"/>
        <v>6883265.6253358163</v>
      </c>
      <c r="F19" s="72">
        <f t="shared" si="2"/>
        <v>3744040</v>
      </c>
      <c r="H19" s="50">
        <f t="shared" ref="H19:H36" si="11">H18+1</f>
        <v>2030</v>
      </c>
      <c r="I19" s="334">
        <f>_xlfn.XLOOKUP(H19,TrafficData!$B$8:$B$48,TrafficData!$D$8:$D$48)</f>
        <v>374.84078414838785</v>
      </c>
      <c r="J19" s="97">
        <f t="shared" si="3"/>
        <v>13994.055941539813</v>
      </c>
      <c r="K19" s="72">
        <f t="shared" si="4"/>
        <v>453407.41250588989</v>
      </c>
      <c r="L19" s="72">
        <f t="shared" si="5"/>
        <v>246624</v>
      </c>
      <c r="N19" s="50">
        <f t="shared" ref="N19:N36" si="12">N18+1</f>
        <v>2030</v>
      </c>
      <c r="O19" s="97">
        <f t="shared" si="6"/>
        <v>374.84078414838785</v>
      </c>
      <c r="P19" s="97">
        <f t="shared" si="7"/>
        <v>13994.055941539813</v>
      </c>
      <c r="Q19" s="72">
        <f t="shared" si="8"/>
        <v>687667.90896726656</v>
      </c>
      <c r="R19" s="72">
        <f t="shared" si="9"/>
        <v>374046</v>
      </c>
    </row>
    <row r="20" spans="1:18" x14ac:dyDescent="0.35">
      <c r="A20" s="110">
        <f>IF((B20&gt;(Inputs!$B$7+Inputs!$B$8)),0,IF((B20&lt;Inputs!$B$7),0,((B20-Inputs!$B$7))))</f>
        <v>4</v>
      </c>
      <c r="B20" s="50">
        <f t="shared" si="10"/>
        <v>2031</v>
      </c>
      <c r="C20" s="97">
        <f>VLOOKUP(B20,TrafficData!B4:E50,4,0)</f>
        <v>5989.9557306912384</v>
      </c>
      <c r="D20" s="97">
        <f t="shared" si="0"/>
        <v>373453.77328949637</v>
      </c>
      <c r="E20" s="72">
        <f t="shared" si="1"/>
        <v>7020930.9378425321</v>
      </c>
      <c r="F20" s="72">
        <f t="shared" si="2"/>
        <v>3569085</v>
      </c>
      <c r="H20" s="50">
        <f t="shared" si="11"/>
        <v>2031</v>
      </c>
      <c r="I20" s="334">
        <f>_xlfn.XLOOKUP(H20,TrafficData!$B$8:$B$48,TrafficData!$D$8:$D$48)</f>
        <v>382.33759983135565</v>
      </c>
      <c r="J20" s="97">
        <f t="shared" si="3"/>
        <v>14273.93706037061</v>
      </c>
      <c r="K20" s="72">
        <f t="shared" si="4"/>
        <v>462475.56075600773</v>
      </c>
      <c r="L20" s="72">
        <f t="shared" si="5"/>
        <v>235099</v>
      </c>
      <c r="N20" s="50">
        <f t="shared" si="12"/>
        <v>2031</v>
      </c>
      <c r="O20" s="97">
        <f t="shared" si="6"/>
        <v>382.33759983135565</v>
      </c>
      <c r="P20" s="97">
        <f t="shared" si="7"/>
        <v>14273.93706037061</v>
      </c>
      <c r="Q20" s="72">
        <f t="shared" si="8"/>
        <v>701421.26714661194</v>
      </c>
      <c r="R20" s="72">
        <f t="shared" si="9"/>
        <v>356567</v>
      </c>
    </row>
    <row r="21" spans="1:18" x14ac:dyDescent="0.35">
      <c r="A21" s="110">
        <f>IF((B21&gt;(Inputs!$B$7+Inputs!$B$8)),0,IF((B21&lt;Inputs!$B$7),0,((B21-Inputs!$B$7))))</f>
        <v>5</v>
      </c>
      <c r="B21" s="50">
        <f>B20+1</f>
        <v>2032</v>
      </c>
      <c r="C21" s="97">
        <f>VLOOKUP(B21,TrafficData!B5:E51,4,0)</f>
        <v>6109.7548453050631</v>
      </c>
      <c r="D21" s="97">
        <f t="shared" si="0"/>
        <v>380922.84875528631</v>
      </c>
      <c r="E21" s="72">
        <f t="shared" si="1"/>
        <v>7161349.5565993832</v>
      </c>
      <c r="F21" s="72">
        <f t="shared" si="2"/>
        <v>3402306</v>
      </c>
      <c r="H21" s="50">
        <f>H20+1</f>
        <v>2032</v>
      </c>
      <c r="I21" s="334">
        <f>_xlfn.XLOOKUP(H21,TrafficData!$B$8:$B$48,TrafficData!$D$8:$D$48)</f>
        <v>389.98435182798278</v>
      </c>
      <c r="J21" s="97">
        <f t="shared" si="3"/>
        <v>14559.415801578025</v>
      </c>
      <c r="K21" s="72">
        <f>J21*($B$8)</f>
        <v>471725.071971128</v>
      </c>
      <c r="L21" s="72">
        <f t="shared" si="5"/>
        <v>224113</v>
      </c>
      <c r="N21" s="50">
        <f>N20+1</f>
        <v>2032</v>
      </c>
      <c r="O21" s="97">
        <f t="shared" si="6"/>
        <v>389.98435182798278</v>
      </c>
      <c r="P21" s="97">
        <f t="shared" si="7"/>
        <v>14559.415801578025</v>
      </c>
      <c r="Q21" s="72">
        <f>P21*($B$9)</f>
        <v>715449.69248954428</v>
      </c>
      <c r="R21" s="72">
        <f t="shared" si="9"/>
        <v>339905</v>
      </c>
    </row>
    <row r="22" spans="1:18" x14ac:dyDescent="0.35">
      <c r="A22" s="110">
        <f>IF((B22&gt;(Inputs!$B$7+Inputs!$B$8)),0,IF((B22&lt;Inputs!$B$7),0,((B22-Inputs!$B$7))))</f>
        <v>6</v>
      </c>
      <c r="B22" s="50">
        <f>B21+1</f>
        <v>2033</v>
      </c>
      <c r="C22" s="97">
        <f>VLOOKUP(B22,TrafficData!B6:E52,4,0)</f>
        <v>6231.9499422111649</v>
      </c>
      <c r="D22" s="97">
        <f t="shared" si="0"/>
        <v>388541.30573039211</v>
      </c>
      <c r="E22" s="72">
        <f t="shared" si="1"/>
        <v>7304576.5477313716</v>
      </c>
      <c r="F22" s="72">
        <f t="shared" si="2"/>
        <v>3243319</v>
      </c>
      <c r="H22" s="50">
        <f>H21+1</f>
        <v>2033</v>
      </c>
      <c r="I22" s="334">
        <f>_xlfn.XLOOKUP(H22,TrafficData!$B$8:$B$48,TrafficData!$D$8:$D$48)</f>
        <v>397.78403886454242</v>
      </c>
      <c r="J22" s="97">
        <f t="shared" si="3"/>
        <v>14850.604117609584</v>
      </c>
      <c r="K22" s="72">
        <f t="shared" si="4"/>
        <v>481159.57341055048</v>
      </c>
      <c r="L22" s="72">
        <f t="shared" si="5"/>
        <v>213641</v>
      </c>
      <c r="N22" s="50">
        <f>N21+1</f>
        <v>2033</v>
      </c>
      <c r="O22" s="97">
        <f t="shared" si="6"/>
        <v>397.78403886454242</v>
      </c>
      <c r="P22" s="97">
        <f t="shared" si="7"/>
        <v>14850.604117609584</v>
      </c>
      <c r="Q22" s="72">
        <f t="shared" si="8"/>
        <v>729758.68633933505</v>
      </c>
      <c r="R22" s="72">
        <f t="shared" si="9"/>
        <v>324022</v>
      </c>
    </row>
    <row r="23" spans="1:18" x14ac:dyDescent="0.35">
      <c r="A23" s="110">
        <f>IF((B23&gt;(Inputs!$B$7+Inputs!$B$8)),0,IF((B23&lt;Inputs!$B$7),0,((B23-Inputs!$B$7))))</f>
        <v>7</v>
      </c>
      <c r="B23" s="50">
        <f t="shared" si="10"/>
        <v>2034</v>
      </c>
      <c r="C23" s="97">
        <f>VLOOKUP(B23,TrafficData!B7:E53,4,0)</f>
        <v>6356.5889410553882</v>
      </c>
      <c r="D23" s="97">
        <f t="shared" si="0"/>
        <v>396312.13184499991</v>
      </c>
      <c r="E23" s="72">
        <f t="shared" si="1"/>
        <v>7450668.0786859989</v>
      </c>
      <c r="F23" s="72">
        <f t="shared" si="2"/>
        <v>3091762</v>
      </c>
      <c r="H23" s="50">
        <f t="shared" si="11"/>
        <v>2034</v>
      </c>
      <c r="I23" s="334">
        <f>_xlfn.XLOOKUP(H23,TrafficData!$B$8:$B$48,TrafficData!$D$8:$D$48)</f>
        <v>405.73971964183329</v>
      </c>
      <c r="J23" s="97">
        <f t="shared" si="3"/>
        <v>15147.616199961776</v>
      </c>
      <c r="K23" s="72">
        <f t="shared" si="4"/>
        <v>490782.76487876155</v>
      </c>
      <c r="L23" s="72">
        <f t="shared" si="5"/>
        <v>203657</v>
      </c>
      <c r="N23" s="50">
        <f t="shared" si="12"/>
        <v>2034</v>
      </c>
      <c r="O23" s="97">
        <f t="shared" si="6"/>
        <v>405.73971964183329</v>
      </c>
      <c r="P23" s="97">
        <f t="shared" si="7"/>
        <v>15147.616199961776</v>
      </c>
      <c r="Q23" s="72">
        <f t="shared" si="8"/>
        <v>744353.86006612179</v>
      </c>
      <c r="R23" s="72">
        <f t="shared" si="9"/>
        <v>308880</v>
      </c>
    </row>
    <row r="24" spans="1:18" x14ac:dyDescent="0.35">
      <c r="A24" s="110">
        <f>IF((B24&gt;(Inputs!$B$7+Inputs!$B$8)),0,IF((B24&lt;Inputs!$B$7),0,((B24-Inputs!$B$7))))</f>
        <v>8</v>
      </c>
      <c r="B24" s="50">
        <f t="shared" si="10"/>
        <v>2035</v>
      </c>
      <c r="C24" s="97">
        <f>VLOOKUP(B24,TrafficData!B8:E54,4,0)</f>
        <v>6483.7207198764963</v>
      </c>
      <c r="D24" s="97">
        <f t="shared" si="0"/>
        <v>404238.37448189995</v>
      </c>
      <c r="E24" s="72">
        <f t="shared" si="1"/>
        <v>7599681.4402597193</v>
      </c>
      <c r="F24" s="72">
        <f t="shared" si="2"/>
        <v>2947287</v>
      </c>
      <c r="H24" s="50">
        <f t="shared" si="11"/>
        <v>2035</v>
      </c>
      <c r="I24" s="334">
        <f>_xlfn.XLOOKUP(H24,TrafficData!$B$8:$B$48,TrafficData!$D$8:$D$48)</f>
        <v>413.85451403466993</v>
      </c>
      <c r="J24" s="97">
        <f t="shared" si="3"/>
        <v>15450.56852396101</v>
      </c>
      <c r="K24" s="72">
        <f t="shared" si="4"/>
        <v>500598.42017633672</v>
      </c>
      <c r="L24" s="72">
        <f>ROUND($K24/((1+B$4)^($H24-$B$5)),0)</f>
        <v>194141</v>
      </c>
      <c r="N24" s="50">
        <f t="shared" si="12"/>
        <v>2035</v>
      </c>
      <c r="O24" s="97">
        <f t="shared" si="6"/>
        <v>413.85451403466993</v>
      </c>
      <c r="P24" s="97">
        <f t="shared" si="7"/>
        <v>15450.56852396101</v>
      </c>
      <c r="Q24" s="72">
        <f t="shared" si="8"/>
        <v>759240.93726744421</v>
      </c>
      <c r="R24" s="72">
        <f t="shared" si="9"/>
        <v>294447</v>
      </c>
    </row>
    <row r="25" spans="1:18" x14ac:dyDescent="0.35">
      <c r="A25" s="110">
        <f>IF((B25&gt;(Inputs!$B$7+Inputs!$B$8)),0,IF((B25&lt;Inputs!$B$7),0,((B25-Inputs!$B$7))))</f>
        <v>9</v>
      </c>
      <c r="B25" s="50">
        <f t="shared" si="10"/>
        <v>2036</v>
      </c>
      <c r="C25" s="97">
        <f>VLOOKUP(B25,TrafficData!B9:E55,4,0)</f>
        <v>6613.3951342740256</v>
      </c>
      <c r="D25" s="97">
        <f t="shared" si="0"/>
        <v>412323.1419715379</v>
      </c>
      <c r="E25" s="72">
        <f t="shared" si="1"/>
        <v>7751675.0690649124</v>
      </c>
      <c r="F25" s="72">
        <f t="shared" si="2"/>
        <v>2809564</v>
      </c>
      <c r="H25" s="50">
        <f t="shared" si="11"/>
        <v>2036</v>
      </c>
      <c r="I25" s="334">
        <f>_xlfn.XLOOKUP(H25,TrafficData!$B$8:$B$48,TrafficData!$D$8:$D$48)</f>
        <v>422.13160431536335</v>
      </c>
      <c r="J25" s="97">
        <f>I25*$B$10*$B$12</f>
        <v>15759.579894440232</v>
      </c>
      <c r="K25" s="72">
        <f t="shared" si="4"/>
        <v>510610.38857986353</v>
      </c>
      <c r="L25" s="72">
        <f t="shared" si="5"/>
        <v>185069</v>
      </c>
      <c r="N25" s="50">
        <f t="shared" si="12"/>
        <v>2036</v>
      </c>
      <c r="O25" s="97">
        <f t="shared" si="6"/>
        <v>422.13160431536335</v>
      </c>
      <c r="P25" s="97">
        <f t="shared" si="7"/>
        <v>15759.579894440232</v>
      </c>
      <c r="Q25" s="72">
        <f t="shared" si="8"/>
        <v>774425.75601279316</v>
      </c>
      <c r="R25" s="72">
        <f t="shared" si="9"/>
        <v>280688</v>
      </c>
    </row>
    <row r="26" spans="1:18" x14ac:dyDescent="0.35">
      <c r="A26" s="110">
        <f>IF((B26&gt;(Inputs!$B$7+Inputs!$B$8)),0,IF((B26&lt;Inputs!$B$7),0,((B26-Inputs!$B$7))))</f>
        <v>10</v>
      </c>
      <c r="B26" s="50">
        <f t="shared" si="10"/>
        <v>2037</v>
      </c>
      <c r="C26" s="97">
        <f>VLOOKUP(B26,TrafficData!B10:E56,4,0)</f>
        <v>6745.6630369595068</v>
      </c>
      <c r="D26" s="97">
        <f t="shared" si="0"/>
        <v>420569.60481096868</v>
      </c>
      <c r="E26" s="72">
        <f t="shared" si="1"/>
        <v>7906708.5704462118</v>
      </c>
      <c r="F26" s="72">
        <f t="shared" si="2"/>
        <v>2678276</v>
      </c>
      <c r="H26" s="50">
        <f t="shared" si="11"/>
        <v>2037</v>
      </c>
      <c r="I26" s="334">
        <f>_xlfn.XLOOKUP(H26,TrafficData!$B$8:$B$48,TrafficData!$D$8:$D$48)</f>
        <v>430.57423640167065</v>
      </c>
      <c r="J26" s="97">
        <f t="shared" si="3"/>
        <v>16074.771492329037</v>
      </c>
      <c r="K26" s="72">
        <f t="shared" si="4"/>
        <v>520822.59635146079</v>
      </c>
      <c r="L26" s="72">
        <f t="shared" si="5"/>
        <v>176421</v>
      </c>
      <c r="N26" s="50">
        <f t="shared" si="12"/>
        <v>2037</v>
      </c>
      <c r="O26" s="97">
        <f t="shared" si="6"/>
        <v>430.57423640167065</v>
      </c>
      <c r="P26" s="97">
        <f t="shared" si="7"/>
        <v>16074.771492329037</v>
      </c>
      <c r="Q26" s="72">
        <f t="shared" si="8"/>
        <v>789914.27113304904</v>
      </c>
      <c r="R26" s="72">
        <f t="shared" si="9"/>
        <v>267571</v>
      </c>
    </row>
    <row r="27" spans="1:18" x14ac:dyDescent="0.35">
      <c r="A27" s="110">
        <f>IF((B27&gt;(Inputs!$B$7+Inputs!$B$8)),0,IF((B27&lt;Inputs!$B$7),0,((B27-Inputs!$B$7))))</f>
        <v>11</v>
      </c>
      <c r="B27" s="50">
        <f t="shared" si="10"/>
        <v>2038</v>
      </c>
      <c r="C27" s="97">
        <f>VLOOKUP(B27,TrafficData!B11:E57,4,0)</f>
        <v>6880.5762976986971</v>
      </c>
      <c r="D27" s="97">
        <f t="shared" si="0"/>
        <v>428980.99690718809</v>
      </c>
      <c r="E27" s="72">
        <f t="shared" si="1"/>
        <v>8064842.7418551361</v>
      </c>
      <c r="F27" s="72">
        <f t="shared" si="2"/>
        <v>2553123</v>
      </c>
      <c r="H27" s="50">
        <f t="shared" si="11"/>
        <v>2038</v>
      </c>
      <c r="I27" s="334">
        <f>_xlfn.XLOOKUP(H27,TrafficData!$B$8:$B$48,TrafficData!$D$8:$D$48)</f>
        <v>439.18572112970406</v>
      </c>
      <c r="J27" s="97">
        <f t="shared" si="3"/>
        <v>16396.266922175619</v>
      </c>
      <c r="K27" s="72">
        <f t="shared" si="4"/>
        <v>531239.04827848997</v>
      </c>
      <c r="L27" s="72">
        <f t="shared" si="5"/>
        <v>168177</v>
      </c>
      <c r="N27" s="50">
        <f t="shared" si="12"/>
        <v>2038</v>
      </c>
      <c r="O27" s="97">
        <f t="shared" si="6"/>
        <v>439.18572112970406</v>
      </c>
      <c r="P27" s="97">
        <f t="shared" si="7"/>
        <v>16396.266922175619</v>
      </c>
      <c r="Q27" s="72">
        <f t="shared" si="8"/>
        <v>805712.55655571003</v>
      </c>
      <c r="R27" s="72">
        <f t="shared" si="9"/>
        <v>255068</v>
      </c>
    </row>
    <row r="28" spans="1:18" x14ac:dyDescent="0.35">
      <c r="A28" s="110">
        <f>IF((B28&gt;(Inputs!$B$7+Inputs!$B$8)),0,IF((B28&lt;Inputs!$B$7),0,((B28-Inputs!$B$7))))</f>
        <v>12</v>
      </c>
      <c r="B28" s="50">
        <f t="shared" si="10"/>
        <v>2039</v>
      </c>
      <c r="C28" s="97">
        <f>VLOOKUP(B28,TrafficData!B12:E58,4,0)</f>
        <v>7018.1878236526709</v>
      </c>
      <c r="D28" s="97">
        <f t="shared" si="0"/>
        <v>437560.61684533185</v>
      </c>
      <c r="E28" s="72">
        <f t="shared" si="1"/>
        <v>8226139.5966922389</v>
      </c>
      <c r="F28" s="72">
        <f t="shared" si="2"/>
        <v>2433818</v>
      </c>
      <c r="H28" s="50">
        <f t="shared" si="11"/>
        <v>2039</v>
      </c>
      <c r="I28" s="334">
        <f>_xlfn.XLOOKUP(H28,TrafficData!$B$8:$B$48,TrafficData!$D$8:$D$48)</f>
        <v>447.96943555229814</v>
      </c>
      <c r="J28" s="97">
        <f t="shared" si="3"/>
        <v>16724.192260619133</v>
      </c>
      <c r="K28" s="72">
        <f t="shared" si="4"/>
        <v>541863.82924405986</v>
      </c>
      <c r="L28" s="72">
        <f t="shared" si="5"/>
        <v>160318</v>
      </c>
      <c r="N28" s="50">
        <f t="shared" si="12"/>
        <v>2039</v>
      </c>
      <c r="O28" s="97">
        <f t="shared" si="6"/>
        <v>447.96943555229814</v>
      </c>
      <c r="P28" s="97">
        <f t="shared" si="7"/>
        <v>16724.192260619133</v>
      </c>
      <c r="Q28" s="72">
        <f t="shared" si="8"/>
        <v>821826.80768682435</v>
      </c>
      <c r="R28" s="72">
        <f t="shared" si="9"/>
        <v>243149</v>
      </c>
    </row>
    <row r="29" spans="1:18" x14ac:dyDescent="0.35">
      <c r="A29" s="110">
        <f>IF((B29&gt;(Inputs!$B$7+Inputs!$B$8)),0,IF((B29&lt;Inputs!$B$7),0,((B29-Inputs!$B$7))))</f>
        <v>13</v>
      </c>
      <c r="B29" s="50">
        <f t="shared" si="10"/>
        <v>2040</v>
      </c>
      <c r="C29" s="97">
        <f>VLOOKUP(B29,TrafficData!B13:E59,4,0)</f>
        <v>7158.5515801257243</v>
      </c>
      <c r="D29" s="97">
        <f t="shared" si="0"/>
        <v>446311.82918223849</v>
      </c>
      <c r="E29" s="72">
        <f t="shared" si="1"/>
        <v>8390662.3886260837</v>
      </c>
      <c r="F29" s="72">
        <f t="shared" si="2"/>
        <v>2320088</v>
      </c>
      <c r="H29" s="50">
        <f t="shared" si="11"/>
        <v>2040</v>
      </c>
      <c r="I29" s="334">
        <f>_xlfn.XLOOKUP(H29,TrafficData!$B$8:$B$48,TrafficData!$D$8:$D$48)</f>
        <v>456.9288242633441</v>
      </c>
      <c r="J29" s="97">
        <f t="shared" si="3"/>
        <v>17058.676105831513</v>
      </c>
      <c r="K29" s="72">
        <f t="shared" si="4"/>
        <v>552701.10582894098</v>
      </c>
      <c r="L29" s="72">
        <f t="shared" si="5"/>
        <v>152826</v>
      </c>
      <c r="N29" s="50">
        <f t="shared" si="12"/>
        <v>2040</v>
      </c>
      <c r="O29" s="97">
        <f t="shared" si="6"/>
        <v>456.9288242633441</v>
      </c>
      <c r="P29" s="97">
        <f t="shared" si="7"/>
        <v>17058.676105831513</v>
      </c>
      <c r="Q29" s="72">
        <f t="shared" si="8"/>
        <v>838263.34384056064</v>
      </c>
      <c r="R29" s="72">
        <f t="shared" si="9"/>
        <v>231787</v>
      </c>
    </row>
    <row r="30" spans="1:18" x14ac:dyDescent="0.35">
      <c r="A30" s="110">
        <f>IF((B30&gt;(Inputs!$B$7+Inputs!$B$8)),0,IF((B30&lt;Inputs!$B$7),0,((B30-Inputs!$B$7))))</f>
        <v>14</v>
      </c>
      <c r="B30" s="50">
        <f t="shared" si="10"/>
        <v>2041</v>
      </c>
      <c r="C30" s="97">
        <f>VLOOKUP(B30,TrafficData!B14:E60,4,0)</f>
        <v>7301.722611728238</v>
      </c>
      <c r="D30" s="97">
        <f t="shared" si="0"/>
        <v>455238.06576588313</v>
      </c>
      <c r="E30" s="72">
        <f t="shared" si="1"/>
        <v>8558475.6363986041</v>
      </c>
      <c r="F30" s="72">
        <f t="shared" si="2"/>
        <v>2211673</v>
      </c>
      <c r="H30" s="50">
        <f t="shared" si="11"/>
        <v>2041</v>
      </c>
      <c r="I30" s="334">
        <f>_xlfn.XLOOKUP(H30,TrafficData!$B$8:$B$48,TrafficData!$D$8:$D$48)</f>
        <v>466.06740074861096</v>
      </c>
      <c r="J30" s="97">
        <f t="shared" si="3"/>
        <v>17399.849627948141</v>
      </c>
      <c r="K30" s="72">
        <f t="shared" si="4"/>
        <v>563755.12794551975</v>
      </c>
      <c r="L30" s="72">
        <f t="shared" si="5"/>
        <v>145685</v>
      </c>
      <c r="N30" s="50">
        <f t="shared" si="12"/>
        <v>2041</v>
      </c>
      <c r="O30" s="97">
        <f t="shared" si="6"/>
        <v>466.06740074861096</v>
      </c>
      <c r="P30" s="97">
        <f t="shared" si="7"/>
        <v>17399.849627948141</v>
      </c>
      <c r="Q30" s="72">
        <f t="shared" si="8"/>
        <v>855028.6107173718</v>
      </c>
      <c r="R30" s="72">
        <f t="shared" si="9"/>
        <v>220956</v>
      </c>
    </row>
    <row r="31" spans="1:18" x14ac:dyDescent="0.35">
      <c r="A31" s="110">
        <f>IF((B31&gt;(Inputs!$B$7+Inputs!$B$8)),0,IF((B31&lt;Inputs!$B$7),0,((B31-Inputs!$B$7))))</f>
        <v>15</v>
      </c>
      <c r="B31" s="50">
        <f t="shared" si="10"/>
        <v>2042</v>
      </c>
      <c r="C31" s="97">
        <f>VLOOKUP(B31,TrafficData!B15:E61,4,0)</f>
        <v>7447.7570639628038</v>
      </c>
      <c r="D31" s="97">
        <f t="shared" si="0"/>
        <v>464342.82708120096</v>
      </c>
      <c r="E31" s="72">
        <f t="shared" si="1"/>
        <v>8729645.1491265781</v>
      </c>
      <c r="F31" s="72">
        <f t="shared" si="2"/>
        <v>2108324</v>
      </c>
      <c r="H31" s="50">
        <f t="shared" si="11"/>
        <v>2042</v>
      </c>
      <c r="I31" s="334">
        <f>_xlfn.XLOOKUP(H31,TrafficData!$B$8:$B$48,TrafficData!$D$8:$D$48)</f>
        <v>475.38874876358318</v>
      </c>
      <c r="J31" s="97">
        <f t="shared" si="3"/>
        <v>17747.846620507105</v>
      </c>
      <c r="K31" s="72">
        <f t="shared" si="4"/>
        <v>575030.23050443013</v>
      </c>
      <c r="L31" s="72">
        <f t="shared" si="5"/>
        <v>138877</v>
      </c>
      <c r="N31" s="50">
        <f t="shared" si="12"/>
        <v>2042</v>
      </c>
      <c r="O31" s="97">
        <f t="shared" si="6"/>
        <v>475.38874876358318</v>
      </c>
      <c r="P31" s="97">
        <f t="shared" si="7"/>
        <v>17747.846620507105</v>
      </c>
      <c r="Q31" s="72">
        <f t="shared" si="8"/>
        <v>872129.18293171935</v>
      </c>
      <c r="R31" s="72">
        <f t="shared" si="9"/>
        <v>210631</v>
      </c>
    </row>
    <row r="32" spans="1:18" x14ac:dyDescent="0.35">
      <c r="A32" s="110">
        <f>IF((B32&gt;(Inputs!$B$7+Inputs!$B$8)),0,IF((B32&lt;Inputs!$B$7),0,((B32-Inputs!$B$7))))</f>
        <v>16</v>
      </c>
      <c r="B32" s="50">
        <f t="shared" si="10"/>
        <v>2043</v>
      </c>
      <c r="C32" s="97">
        <f>VLOOKUP(B32,TrafficData!B16:E62,4,0)</f>
        <v>7596.71220524206</v>
      </c>
      <c r="D32" s="97">
        <f t="shared" si="0"/>
        <v>473629.68362282496</v>
      </c>
      <c r="E32" s="72">
        <f t="shared" si="1"/>
        <v>8904238.0521091092</v>
      </c>
      <c r="F32" s="72">
        <f t="shared" si="2"/>
        <v>2009804</v>
      </c>
      <c r="H32" s="50">
        <f t="shared" si="11"/>
        <v>2043</v>
      </c>
      <c r="I32" s="334">
        <f>_xlfn.XLOOKUP(H32,TrafficData!$B$8:$B$48,TrafficData!$D$8:$D$48)</f>
        <v>484.89652373885485</v>
      </c>
      <c r="J32" s="97">
        <f t="shared" si="3"/>
        <v>18102.803552917248</v>
      </c>
      <c r="K32" s="72">
        <f t="shared" si="4"/>
        <v>586530.83511451888</v>
      </c>
      <c r="L32" s="72">
        <f t="shared" si="5"/>
        <v>132388</v>
      </c>
      <c r="N32" s="50">
        <f t="shared" si="12"/>
        <v>2043</v>
      </c>
      <c r="O32" s="97">
        <f t="shared" si="6"/>
        <v>484.89652373885485</v>
      </c>
      <c r="P32" s="97">
        <f t="shared" si="7"/>
        <v>18102.803552917248</v>
      </c>
      <c r="Q32" s="72">
        <f t="shared" si="8"/>
        <v>889571.76659035368</v>
      </c>
      <c r="R32" s="72">
        <f t="shared" si="9"/>
        <v>200788</v>
      </c>
    </row>
    <row r="33" spans="1:18" x14ac:dyDescent="0.35">
      <c r="A33" s="110">
        <f>IF((B33&gt;(Inputs!$B$7+Inputs!$B$8)),0,IF((B33&lt;Inputs!$B$7),0,((B33-Inputs!$B$7))))</f>
        <v>17</v>
      </c>
      <c r="B33" s="50">
        <f t="shared" si="10"/>
        <v>2044</v>
      </c>
      <c r="C33" s="97">
        <f>VLOOKUP(B33,TrafficData!B17:E63,4,0)</f>
        <v>7748.6464493469002</v>
      </c>
      <c r="D33" s="97">
        <f t="shared" si="0"/>
        <v>483102.27729528141</v>
      </c>
      <c r="E33" s="72">
        <f t="shared" si="1"/>
        <v>9082322.8131512906</v>
      </c>
      <c r="F33" s="72">
        <f t="shared" si="2"/>
        <v>1915888</v>
      </c>
      <c r="H33" s="50">
        <f t="shared" si="11"/>
        <v>2044</v>
      </c>
      <c r="I33" s="334">
        <f>_xlfn.XLOOKUP(H33,TrafficData!$B$8:$B$48,TrafficData!$D$8:$D$48)</f>
        <v>494.59445421363193</v>
      </c>
      <c r="J33" s="97">
        <f t="shared" si="3"/>
        <v>18464.859623975593</v>
      </c>
      <c r="K33" s="72">
        <f t="shared" si="4"/>
        <v>598261.45181680925</v>
      </c>
      <c r="L33" s="72">
        <f t="shared" si="5"/>
        <v>126201</v>
      </c>
      <c r="N33" s="50">
        <f t="shared" si="12"/>
        <v>2044</v>
      </c>
      <c r="O33" s="97">
        <f t="shared" si="6"/>
        <v>494.59445421363193</v>
      </c>
      <c r="P33" s="97">
        <f t="shared" si="7"/>
        <v>18464.859623975593</v>
      </c>
      <c r="Q33" s="72">
        <f t="shared" si="8"/>
        <v>907363.20192216081</v>
      </c>
      <c r="R33" s="72">
        <f t="shared" si="9"/>
        <v>191405</v>
      </c>
    </row>
    <row r="34" spans="1:18" x14ac:dyDescent="0.35">
      <c r="A34" s="110">
        <f>IF((B34&gt;(Inputs!$B$7+Inputs!$B$8)),0,IF((B34&lt;Inputs!$B$7),0,((B34-Inputs!$B$7))))</f>
        <v>18</v>
      </c>
      <c r="B34" s="50">
        <f t="shared" si="10"/>
        <v>2045</v>
      </c>
      <c r="C34" s="97">
        <f>VLOOKUP(B34,TrafficData!B18:E64,4,0)</f>
        <v>7903.6193783338394</v>
      </c>
      <c r="D34" s="97">
        <f t="shared" si="0"/>
        <v>492764.32284118712</v>
      </c>
      <c r="E34" s="72">
        <f t="shared" si="1"/>
        <v>9263969.2694143187</v>
      </c>
      <c r="F34" s="72">
        <f t="shared" si="2"/>
        <v>1826360</v>
      </c>
      <c r="H34" s="50">
        <f t="shared" si="11"/>
        <v>2045</v>
      </c>
      <c r="I34" s="334">
        <f>_xlfn.XLOOKUP(H34,TrafficData!$B$8:$B$48,TrafficData!$D$8:$D$48)</f>
        <v>504.48634329790463</v>
      </c>
      <c r="J34" s="97">
        <f t="shared" si="3"/>
        <v>18834.156816455106</v>
      </c>
      <c r="K34" s="72">
        <f t="shared" si="4"/>
        <v>610226.68085314543</v>
      </c>
      <c r="L34" s="72">
        <f t="shared" si="5"/>
        <v>120304</v>
      </c>
      <c r="N34" s="50">
        <f t="shared" si="12"/>
        <v>2045</v>
      </c>
      <c r="O34" s="97">
        <f t="shared" si="6"/>
        <v>504.48634329790463</v>
      </c>
      <c r="P34" s="97">
        <f t="shared" si="7"/>
        <v>18834.156816455106</v>
      </c>
      <c r="Q34" s="72">
        <f t="shared" si="8"/>
        <v>925510.46596060402</v>
      </c>
      <c r="R34" s="72">
        <f t="shared" si="9"/>
        <v>182461</v>
      </c>
    </row>
    <row r="35" spans="1:18" x14ac:dyDescent="0.35">
      <c r="A35" s="110">
        <f>IF((B35&gt;(Inputs!$B$7+Inputs!$B$8)),0,IF((B35&lt;Inputs!$B$7),0,((B35-Inputs!$B$7))))</f>
        <v>19</v>
      </c>
      <c r="B35" s="50">
        <f t="shared" si="10"/>
        <v>2046</v>
      </c>
      <c r="C35" s="97">
        <f>VLOOKUP(B35,TrafficData!B19:E65,4,0)</f>
        <v>8061.6917659005157</v>
      </c>
      <c r="D35" s="97">
        <f t="shared" si="0"/>
        <v>502619.60929801082</v>
      </c>
      <c r="E35" s="72">
        <f t="shared" si="1"/>
        <v>9449248.6548026036</v>
      </c>
      <c r="F35" s="72">
        <f t="shared" si="2"/>
        <v>1741016</v>
      </c>
      <c r="H35" s="50">
        <f t="shared" si="11"/>
        <v>2046</v>
      </c>
      <c r="I35" s="334">
        <f>_xlfn.XLOOKUP(H35,TrafficData!$B$8:$B$48,TrafficData!$D$8:$D$48)</f>
        <v>514.57607016386271</v>
      </c>
      <c r="J35" s="97">
        <f t="shared" si="3"/>
        <v>19210.839952784208</v>
      </c>
      <c r="K35" s="72">
        <f t="shared" si="4"/>
        <v>622431.21447020827</v>
      </c>
      <c r="L35" s="72">
        <f t="shared" si="5"/>
        <v>114682</v>
      </c>
      <c r="N35" s="50">
        <f t="shared" si="12"/>
        <v>2046</v>
      </c>
      <c r="O35" s="97">
        <f t="shared" si="6"/>
        <v>514.57607016386271</v>
      </c>
      <c r="P35" s="97">
        <f t="shared" si="7"/>
        <v>19210.839952784208</v>
      </c>
      <c r="Q35" s="72">
        <f t="shared" si="8"/>
        <v>944020.67527981615</v>
      </c>
      <c r="R35" s="72">
        <f t="shared" si="9"/>
        <v>173935</v>
      </c>
    </row>
    <row r="36" spans="1:18" x14ac:dyDescent="0.35">
      <c r="A36" s="110">
        <f>IF((B36&gt;(Inputs!$B$7+Inputs!$B$8)),0,IF((B36&lt;Inputs!$B$7),0,((B36-Inputs!$B$7))))</f>
        <v>20</v>
      </c>
      <c r="B36" s="50">
        <f t="shared" si="10"/>
        <v>2047</v>
      </c>
      <c r="C36" s="97">
        <f>VLOOKUP(B36,TrafficData!B20:E66,4,0)</f>
        <v>8222.9256012185269</v>
      </c>
      <c r="D36" s="97">
        <f t="shared" si="0"/>
        <v>512672.00148397114</v>
      </c>
      <c r="E36" s="72">
        <f t="shared" si="1"/>
        <v>9638233.6278986577</v>
      </c>
      <c r="F36" s="72">
        <f t="shared" si="2"/>
        <v>1659660</v>
      </c>
      <c r="H36" s="50">
        <f t="shared" si="11"/>
        <v>2047</v>
      </c>
      <c r="I36" s="334">
        <f>_xlfn.XLOOKUP(H36,TrafficData!$B$8:$B$48,TrafficData!$D$8:$D$48)</f>
        <v>524.86759156713993</v>
      </c>
      <c r="J36" s="97">
        <f t="shared" si="3"/>
        <v>19595.056751839889</v>
      </c>
      <c r="K36" s="72">
        <f t="shared" si="4"/>
        <v>634879.83875961241</v>
      </c>
      <c r="L36" s="72">
        <f t="shared" si="5"/>
        <v>109323</v>
      </c>
      <c r="N36" s="50">
        <f t="shared" si="12"/>
        <v>2047</v>
      </c>
      <c r="O36" s="97">
        <f t="shared" si="6"/>
        <v>524.86759156713993</v>
      </c>
      <c r="P36" s="97">
        <f t="shared" si="7"/>
        <v>19595.056751839889</v>
      </c>
      <c r="Q36" s="72">
        <f t="shared" si="8"/>
        <v>962901.08878541226</v>
      </c>
      <c r="R36" s="72">
        <f t="shared" si="9"/>
        <v>165807</v>
      </c>
    </row>
    <row r="37" spans="1:18" x14ac:dyDescent="0.35">
      <c r="A37" s="110"/>
      <c r="B37" s="50"/>
      <c r="C37" s="50"/>
      <c r="D37" s="51" t="s">
        <v>349</v>
      </c>
      <c r="E37" s="95">
        <f>SUM(E17:E36)</f>
        <v>160750913.42076406</v>
      </c>
      <c r="F37" s="95">
        <f>SUM(F17:F36)</f>
        <v>54313065</v>
      </c>
      <c r="H37" s="50"/>
      <c r="I37" s="50"/>
      <c r="J37" s="51" t="s">
        <v>349</v>
      </c>
      <c r="K37" s="95">
        <f>SUM(K17:K36)</f>
        <v>10588819.272612492</v>
      </c>
      <c r="L37" s="95">
        <f>SUM(L17:L36)</f>
        <v>3577654</v>
      </c>
      <c r="N37" s="50"/>
      <c r="O37" s="50"/>
      <c r="P37" s="51" t="s">
        <v>349</v>
      </c>
      <c r="Q37" s="95">
        <f>SUM(Q17:Q36)</f>
        <v>16059709.230128951</v>
      </c>
      <c r="R37" s="95">
        <f>SUM(R17:R36)</f>
        <v>5426110</v>
      </c>
    </row>
    <row r="38" spans="1:18" x14ac:dyDescent="0.35">
      <c r="E38" s="5"/>
    </row>
  </sheetData>
  <sheetProtection algorithmName="SHA-512" hashValue="ZmF+RARRzyGfUp43kXDU3xnuGWM4kZ/NwTZgBZIpZdqvoFtWevhPAkn9IiAC8zWZFcJV3vGKbrae2iAybpM1QA==" saltValue="kPl61Z8AHl+tiR0+0Vdqcg==" spinCount="100000" sheet="1" objects="1" scenarios="1"/>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BE34C-782B-4116-B691-E12252860FEC}">
  <dimension ref="A1:AV42"/>
  <sheetViews>
    <sheetView topLeftCell="A11" zoomScaleNormal="100" workbookViewId="0">
      <selection activeCell="E12" sqref="E12"/>
    </sheetView>
  </sheetViews>
  <sheetFormatPr defaultRowHeight="14.5" x14ac:dyDescent="0.35"/>
  <cols>
    <col min="1" max="1" width="10.7265625" style="9" customWidth="1"/>
    <col min="2" max="2" width="50.54296875" customWidth="1"/>
    <col min="3" max="3" width="12.54296875" customWidth="1"/>
    <col min="4" max="7" width="11.26953125" customWidth="1"/>
    <col min="8" max="8" width="12.81640625" customWidth="1"/>
    <col min="9" max="9" width="11.26953125" customWidth="1"/>
    <col min="10" max="10" width="10.7265625" customWidth="1"/>
    <col min="11" max="11" width="18.26953125" customWidth="1"/>
    <col min="12" max="12" width="14.54296875" customWidth="1"/>
    <col min="13" max="13" width="11.54296875" customWidth="1"/>
    <col min="14" max="14" width="18" customWidth="1"/>
    <col min="15" max="15" width="17.26953125" customWidth="1"/>
    <col min="16" max="16" width="18.26953125" customWidth="1"/>
    <col min="17" max="17" width="14.54296875" customWidth="1"/>
    <col min="18" max="18" width="15.7265625" customWidth="1"/>
    <col min="19" max="19" width="18" customWidth="1"/>
    <col min="20" max="20" width="17.26953125" customWidth="1"/>
    <col min="21" max="21" width="18.26953125" customWidth="1"/>
    <col min="22" max="22" width="14.54296875" customWidth="1"/>
    <col min="23" max="23" width="15.7265625" customWidth="1"/>
    <col min="24" max="24" width="18" customWidth="1"/>
    <col min="25" max="25" width="17.26953125" customWidth="1"/>
    <col min="26" max="26" width="18.26953125" customWidth="1"/>
    <col min="27" max="27" width="14.54296875" customWidth="1"/>
    <col min="28" max="28" width="15.7265625" customWidth="1"/>
    <col min="29" max="29" width="18" customWidth="1"/>
    <col min="30" max="30" width="17.26953125" customWidth="1"/>
    <col min="31" max="31" width="18.26953125" customWidth="1"/>
    <col min="32" max="32" width="14.54296875" customWidth="1"/>
    <col min="33" max="33" width="15.7265625" customWidth="1"/>
    <col min="34" max="34" width="18" customWidth="1"/>
    <col min="35" max="35" width="17.26953125" customWidth="1"/>
    <col min="36" max="36" width="18.26953125" customWidth="1"/>
    <col min="37" max="37" width="14.54296875" customWidth="1"/>
    <col min="38" max="38" width="15.7265625" customWidth="1"/>
    <col min="39" max="39" width="18" customWidth="1"/>
    <col min="40" max="40" width="17.26953125" customWidth="1"/>
    <col min="41" max="41" width="18.26953125" customWidth="1"/>
    <col min="42" max="42" width="14.54296875" customWidth="1"/>
    <col min="43" max="43" width="15.7265625" customWidth="1"/>
    <col min="44" max="44" width="18" customWidth="1"/>
    <col min="45" max="45" width="17.26953125" customWidth="1"/>
    <col min="46" max="46" width="18.26953125" customWidth="1"/>
    <col min="47" max="47" width="14.54296875" customWidth="1"/>
    <col min="48" max="48" width="15.7265625" customWidth="1"/>
    <col min="49" max="49" width="18" customWidth="1"/>
    <col min="50" max="50" width="17.26953125" customWidth="1"/>
    <col min="51" max="51" width="18.26953125" customWidth="1"/>
    <col min="52" max="52" width="14.54296875" customWidth="1"/>
    <col min="53" max="53" width="15.7265625" customWidth="1"/>
    <col min="54" max="54" width="18" customWidth="1"/>
    <col min="55" max="55" width="17.26953125" customWidth="1"/>
    <col min="56" max="56" width="18.26953125" customWidth="1"/>
    <col min="57" max="57" width="14.54296875" customWidth="1"/>
    <col min="58" max="58" width="15.7265625" customWidth="1"/>
    <col min="59" max="59" width="18" customWidth="1"/>
    <col min="60" max="60" width="17.26953125" customWidth="1"/>
    <col min="61" max="61" width="18.26953125" customWidth="1"/>
    <col min="62" max="62" width="14.54296875" customWidth="1"/>
    <col min="63" max="63" width="15.7265625" customWidth="1"/>
    <col min="64" max="64" width="18" customWidth="1"/>
    <col min="65" max="65" width="17.26953125" customWidth="1"/>
    <col min="66" max="66" width="18.26953125" customWidth="1"/>
    <col min="67" max="67" width="14.54296875" customWidth="1"/>
    <col min="68" max="68" width="15.7265625" customWidth="1"/>
    <col min="16384" max="16384" width="8.7265625" bestFit="1" customWidth="1"/>
  </cols>
  <sheetData>
    <row r="1" spans="1:13" x14ac:dyDescent="0.35">
      <c r="A1" s="401"/>
      <c r="B1" s="39" t="s">
        <v>133</v>
      </c>
    </row>
    <row r="2" spans="1:13" x14ac:dyDescent="0.35">
      <c r="B2" s="30" t="s">
        <v>134</v>
      </c>
      <c r="E2" s="68"/>
      <c r="F2" s="68"/>
      <c r="G2" s="68"/>
      <c r="H2" s="68"/>
      <c r="I2" s="68"/>
      <c r="J2" s="68"/>
      <c r="K2" s="68"/>
      <c r="L2" s="68"/>
    </row>
    <row r="3" spans="1:13" x14ac:dyDescent="0.35">
      <c r="B3" s="30"/>
      <c r="E3" s="68"/>
      <c r="F3" s="68"/>
      <c r="G3" s="68"/>
      <c r="H3" s="68"/>
      <c r="I3" s="68"/>
      <c r="J3" s="68"/>
      <c r="K3" s="68"/>
      <c r="L3" s="68"/>
    </row>
    <row r="4" spans="1:13" x14ac:dyDescent="0.35">
      <c r="B4" s="30" t="str">
        <f>Inputs!A3</f>
        <v xml:space="preserve">Discount Rate </v>
      </c>
      <c r="C4" s="269">
        <f>Inputs!B3</f>
        <v>7.0000000000000007E-2</v>
      </c>
      <c r="E4" s="68"/>
    </row>
    <row r="5" spans="1:13" x14ac:dyDescent="0.35">
      <c r="B5" s="30" t="str">
        <f>Inputs!A10</f>
        <v>Discount year</v>
      </c>
      <c r="C5" s="26">
        <f>Inputs!B10</f>
        <v>2021</v>
      </c>
    </row>
    <row r="6" spans="1:13" x14ac:dyDescent="0.35">
      <c r="B6" s="30" t="str">
        <f>Inputs!A11</f>
        <v>Benefit Year</v>
      </c>
      <c r="C6" s="26">
        <f>Inputs!B11</f>
        <v>2028</v>
      </c>
      <c r="E6" s="68"/>
    </row>
    <row r="7" spans="1:13" x14ac:dyDescent="0.35">
      <c r="B7" s="34" t="str">
        <f>Inputs!A14</f>
        <v>Annualization Factor</v>
      </c>
      <c r="C7" s="34">
        <f>Inputs!B14</f>
        <v>320</v>
      </c>
      <c r="E7" s="68"/>
    </row>
    <row r="8" spans="1:13" x14ac:dyDescent="0.35">
      <c r="B8" s="333" t="str">
        <f>Inputs!A22</f>
        <v>Net Maintenance time savings (hours) per vehicle</v>
      </c>
      <c r="C8" s="270">
        <f>Inputs!B22</f>
        <v>0.5</v>
      </c>
      <c r="J8" s="5"/>
    </row>
    <row r="9" spans="1:13" s="34" customFormat="1" x14ac:dyDescent="0.35">
      <c r="A9" s="119"/>
      <c r="B9" s="218" t="str">
        <f>Inputs!A24</f>
        <v>NC 143 Maintenance detour (annual frequency)</v>
      </c>
      <c r="C9" s="26">
        <f>Inputs!B24</f>
        <v>13</v>
      </c>
      <c r="D9" s="34" t="s">
        <v>135</v>
      </c>
    </row>
    <row r="10" spans="1:13" x14ac:dyDescent="0.35">
      <c r="B10" t="s">
        <v>136</v>
      </c>
      <c r="C10" s="271">
        <f>'143O&amp;M'!Q602/(C7*24)</f>
        <v>4.433159722222222E-2</v>
      </c>
      <c r="D10" s="267"/>
    </row>
    <row r="11" spans="1:13" x14ac:dyDescent="0.35">
      <c r="B11" t="s">
        <v>137</v>
      </c>
      <c r="C11" s="309">
        <f>'143O&amp;M'!S605</f>
        <v>3.4458333333333333</v>
      </c>
      <c r="D11" t="s">
        <v>138</v>
      </c>
      <c r="H11" s="5"/>
    </row>
    <row r="12" spans="1:13" x14ac:dyDescent="0.35">
      <c r="B12" t="s">
        <v>139</v>
      </c>
      <c r="C12" s="272">
        <f>TrafficData!D3</f>
        <v>0.06</v>
      </c>
    </row>
    <row r="13" spans="1:13" x14ac:dyDescent="0.35">
      <c r="B13" s="30" t="s">
        <v>140</v>
      </c>
      <c r="C13" s="235">
        <f>Inputs!B31</f>
        <v>18.8</v>
      </c>
      <c r="H13" s="4"/>
    </row>
    <row r="14" spans="1:13" x14ac:dyDescent="0.35">
      <c r="B14" s="30" t="str">
        <f>Inputs!A32</f>
        <v>Value of Time, (2021$), truck driver per hour</v>
      </c>
      <c r="C14" s="235">
        <f>Inputs!B32</f>
        <v>32.4</v>
      </c>
      <c r="H14" s="4"/>
    </row>
    <row r="15" spans="1:13" x14ac:dyDescent="0.35">
      <c r="B15" s="30" t="str">
        <f>Inputs!A33</f>
        <v>Truck operating costs per hour (2021$)</v>
      </c>
      <c r="C15" s="235">
        <f>Inputs!B33</f>
        <v>49.140000000000008</v>
      </c>
    </row>
    <row r="16" spans="1:13" x14ac:dyDescent="0.35">
      <c r="B16" s="101" t="s">
        <v>141</v>
      </c>
      <c r="C16" s="26">
        <f>Inputs!B25</f>
        <v>1.67</v>
      </c>
      <c r="M16" s="9"/>
    </row>
    <row r="17" spans="1:48" x14ac:dyDescent="0.35">
      <c r="B17" s="47"/>
      <c r="C17" s="235"/>
      <c r="M17" s="9"/>
    </row>
    <row r="18" spans="1:48" x14ac:dyDescent="0.35">
      <c r="B18" s="34"/>
      <c r="C18" s="286"/>
      <c r="D18" s="70"/>
      <c r="L18" s="68"/>
      <c r="M18" s="68"/>
      <c r="N18" s="68"/>
      <c r="O18" s="68"/>
      <c r="P18" s="68"/>
      <c r="AU18" s="7"/>
      <c r="AV18" s="7"/>
    </row>
    <row r="19" spans="1:48" x14ac:dyDescent="0.35">
      <c r="F19" s="411" t="s">
        <v>142</v>
      </c>
      <c r="G19" s="411"/>
      <c r="H19" s="411"/>
      <c r="I19" s="412" t="s">
        <v>143</v>
      </c>
      <c r="J19" s="412"/>
      <c r="K19" s="413"/>
      <c r="L19" s="50"/>
    </row>
    <row r="20" spans="1:48" s="34" customFormat="1" ht="87" x14ac:dyDescent="0.35">
      <c r="A20" s="29" t="s">
        <v>144</v>
      </c>
      <c r="B20" s="53" t="s">
        <v>145</v>
      </c>
      <c r="C20" s="53" t="s">
        <v>146</v>
      </c>
      <c r="D20" s="53" t="s">
        <v>147</v>
      </c>
      <c r="E20" s="53" t="s">
        <v>148</v>
      </c>
      <c r="F20" s="54" t="s">
        <v>149</v>
      </c>
      <c r="G20" s="134" t="s">
        <v>150</v>
      </c>
      <c r="H20" s="134" t="s">
        <v>151</v>
      </c>
      <c r="I20" s="53" t="s">
        <v>152</v>
      </c>
      <c r="J20" s="53" t="s">
        <v>153</v>
      </c>
      <c r="K20" s="298" t="s">
        <v>154</v>
      </c>
      <c r="L20" s="53" t="s">
        <v>155</v>
      </c>
      <c r="M20" s="223"/>
    </row>
    <row r="21" spans="1:48" ht="14.65" customHeight="1" x14ac:dyDescent="0.35">
      <c r="A21" s="9">
        <f>IF((B21&gt;(Inputs!$B$7+Inputs!$B$8)),0,IF((B21&lt;Inputs!$B$7),0,((B21-Inputs!$B$7))))</f>
        <v>1</v>
      </c>
      <c r="B21" s="50">
        <f>Inputs!B11</f>
        <v>2028</v>
      </c>
      <c r="C21" s="97">
        <f>_xlfn.XLOOKUP('Maint Delays Avoidance'!B21,TrafficData!$B$8:$B$48,TrafficData!$C$8:$C$48,)*$C$7</f>
        <v>1921521.3848437159</v>
      </c>
      <c r="D21" s="97">
        <f>C21*$C$10</f>
        <v>85184.112086778274</v>
      </c>
      <c r="E21" s="97">
        <f>SUM(D21*$C$8)</f>
        <v>42592.056043389137</v>
      </c>
      <c r="F21" s="109">
        <f>(1-$C$12)*E21*$C$16</f>
        <v>66861.009576912256</v>
      </c>
      <c r="G21" s="72">
        <f>F21*$C$13</f>
        <v>1256986.9800459505</v>
      </c>
      <c r="H21" s="72">
        <f>ROUND($G21/((1+C$4)^($B21-$C$5)),0)</f>
        <v>782788</v>
      </c>
      <c r="I21" s="109">
        <f>SUM(E21*$C$12)</f>
        <v>2555.5233626033482</v>
      </c>
      <c r="J21" s="72">
        <f>I21*($C$14+$C$15)</f>
        <v>208377.37498667702</v>
      </c>
      <c r="K21" s="299">
        <f>ROUND($J21/((1+C$4)^($B21-$C$5)),0)</f>
        <v>129767</v>
      </c>
      <c r="L21" s="111">
        <f>SUM(K21,H21)</f>
        <v>912555</v>
      </c>
    </row>
    <row r="22" spans="1:48" ht="14.65" customHeight="1" x14ac:dyDescent="0.35">
      <c r="A22" s="9">
        <f>IF((B22&gt;(Inputs!$B$7+Inputs!$B$8)),0,IF((B22&lt;Inputs!$B$7),0,((B22-Inputs!$B$7))))</f>
        <v>2</v>
      </c>
      <c r="B22" s="50">
        <f>B21+1</f>
        <v>2029</v>
      </c>
      <c r="C22" s="97">
        <f>_xlfn.XLOOKUP('Maint Delays Avoidance'!B22,TrafficData!$B$8:$B$48,TrafficData!$C$8:$C$48,)*$C$7</f>
        <v>1959951.8125405903</v>
      </c>
      <c r="D22" s="97">
        <f t="shared" ref="D22:D40" si="0">C22*$C$10</f>
        <v>86887.794328513832</v>
      </c>
      <c r="E22" s="97">
        <f t="shared" ref="E22:E40" si="1">SUM(D22*$C$8)</f>
        <v>43443.897164256916</v>
      </c>
      <c r="F22" s="109">
        <f t="shared" ref="F22:F40" si="2">(1-$C$12)*E22*$C$16</f>
        <v>68198.229768450503</v>
      </c>
      <c r="G22" s="72">
        <f t="shared" ref="G22:G40" si="3">F22*$C$13</f>
        <v>1282126.7196468695</v>
      </c>
      <c r="H22" s="72">
        <f t="shared" ref="H22:H40" si="4">ROUND($G22/((1+C$4)^($B22-$C$5)),0)</f>
        <v>746209</v>
      </c>
      <c r="I22" s="109">
        <f t="shared" ref="I22:I40" si="5">SUM(E22*$C$12)</f>
        <v>2606.6338298554147</v>
      </c>
      <c r="J22" s="72">
        <f t="shared" ref="J22:J40" si="6">I22*($C$14+$C$15)</f>
        <v>212544.92248641053</v>
      </c>
      <c r="K22" s="299">
        <f t="shared" ref="K22:K40" si="7">ROUND($J22/((1+C$4)^($B22-$C$5)),0)</f>
        <v>123703</v>
      </c>
      <c r="L22" s="111">
        <f t="shared" ref="L22:L40" si="8">SUM(K22,H22)</f>
        <v>869912</v>
      </c>
    </row>
    <row r="23" spans="1:48" x14ac:dyDescent="0.35">
      <c r="A23" s="9">
        <f>IF((B23&gt;(Inputs!$B$7+Inputs!$B$8)),0,IF((B23&lt;Inputs!$B$7),0,((B23-Inputs!$B$7))))</f>
        <v>3</v>
      </c>
      <c r="B23" s="50">
        <f t="shared" ref="B23:B40" si="9">B22+1</f>
        <v>2030</v>
      </c>
      <c r="C23" s="97">
        <f>_xlfn.XLOOKUP('Maint Delays Avoidance'!B23,TrafficData!$B$8:$B$48,TrafficData!$C$8:$C$48,)*$C$7</f>
        <v>1999150.8487914018</v>
      </c>
      <c r="D23" s="97">
        <f t="shared" si="0"/>
        <v>88625.550215084106</v>
      </c>
      <c r="E23" s="97">
        <f t="shared" si="1"/>
        <v>44312.775107542053</v>
      </c>
      <c r="F23" s="109">
        <f t="shared" si="2"/>
        <v>69562.194363819508</v>
      </c>
      <c r="G23" s="72">
        <f t="shared" si="3"/>
        <v>1307769.2540398068</v>
      </c>
      <c r="H23" s="72">
        <f t="shared" si="4"/>
        <v>711340</v>
      </c>
      <c r="I23" s="109">
        <f t="shared" si="5"/>
        <v>2658.7665064525231</v>
      </c>
      <c r="J23" s="72">
        <f t="shared" si="6"/>
        <v>216795.82093613874</v>
      </c>
      <c r="K23" s="299">
        <f t="shared" si="7"/>
        <v>117923</v>
      </c>
      <c r="L23" s="111">
        <f t="shared" si="8"/>
        <v>829263</v>
      </c>
    </row>
    <row r="24" spans="1:48" x14ac:dyDescent="0.35">
      <c r="A24" s="9">
        <f>IF((B24&gt;(Inputs!$B$7+Inputs!$B$8)),0,IF((B24&lt;Inputs!$B$7),0,((B24-Inputs!$B$7))))</f>
        <v>4</v>
      </c>
      <c r="B24" s="50">
        <f t="shared" si="9"/>
        <v>2031</v>
      </c>
      <c r="C24" s="97">
        <f>_xlfn.XLOOKUP('Maint Delays Avoidance'!B24,TrafficData!$B$8:$B$48,TrafficData!$C$8:$C$48,)*$C$7</f>
        <v>2039133.8657672303</v>
      </c>
      <c r="D24" s="97">
        <f t="shared" si="0"/>
        <v>90398.061219385811</v>
      </c>
      <c r="E24" s="97">
        <f>SUM(D24*$C$8)</f>
        <v>45199.030609692905</v>
      </c>
      <c r="F24" s="109">
        <f t="shared" si="2"/>
        <v>70953.438251095911</v>
      </c>
      <c r="G24" s="72">
        <f>F24*$C$13</f>
        <v>1333924.6391206032</v>
      </c>
      <c r="H24" s="72">
        <f t="shared" si="4"/>
        <v>678100</v>
      </c>
      <c r="I24" s="109">
        <f t="shared" si="5"/>
        <v>2711.9418365815741</v>
      </c>
      <c r="J24" s="72">
        <f t="shared" si="6"/>
        <v>221131.73735486157</v>
      </c>
      <c r="K24" s="299">
        <f t="shared" si="7"/>
        <v>112412</v>
      </c>
      <c r="L24" s="111">
        <f t="shared" si="8"/>
        <v>790512</v>
      </c>
    </row>
    <row r="25" spans="1:48" x14ac:dyDescent="0.35">
      <c r="A25" s="9">
        <f>IF((B25&gt;(Inputs!$B$7+Inputs!$B$8)),0,IF((B25&lt;Inputs!$B$7),0,((B25-Inputs!$B$7))))</f>
        <v>5</v>
      </c>
      <c r="B25" s="50">
        <f t="shared" si="9"/>
        <v>2032</v>
      </c>
      <c r="C25" s="97">
        <f>_xlfn.XLOOKUP('Maint Delays Avoidance'!B25,TrafficData!$B$8:$B$48,TrafficData!$C$8:$C$48,)*$C$7</f>
        <v>2079916.5430825748</v>
      </c>
      <c r="D25" s="97">
        <f t="shared" si="0"/>
        <v>92206.022443773516</v>
      </c>
      <c r="E25" s="97">
        <f t="shared" si="1"/>
        <v>46103.011221886758</v>
      </c>
      <c r="F25" s="109">
        <f t="shared" si="2"/>
        <v>72372.507016117816</v>
      </c>
      <c r="G25" s="72">
        <f t="shared" si="3"/>
        <v>1360603.1319030151</v>
      </c>
      <c r="H25" s="72">
        <f t="shared" si="4"/>
        <v>646413</v>
      </c>
      <c r="I25" s="109">
        <f t="shared" si="5"/>
        <v>2766.1806733132053</v>
      </c>
      <c r="J25" s="72">
        <f t="shared" si="6"/>
        <v>225554.37210195878</v>
      </c>
      <c r="K25" s="299">
        <f t="shared" si="7"/>
        <v>107159</v>
      </c>
      <c r="L25" s="111">
        <f t="shared" si="8"/>
        <v>753572</v>
      </c>
    </row>
    <row r="26" spans="1:48" x14ac:dyDescent="0.35">
      <c r="A26" s="9">
        <f>IF((B26&gt;(Inputs!$B$7+Inputs!$B$8)),0,IF((B26&lt;Inputs!$B$7),0,((B26-Inputs!$B$7))))</f>
        <v>6</v>
      </c>
      <c r="B26" s="50">
        <f t="shared" si="9"/>
        <v>2033</v>
      </c>
      <c r="C26" s="97">
        <f>_xlfn.XLOOKUP('Maint Delays Avoidance'!B26,TrafficData!$B$8:$B$48,TrafficData!$C$8:$C$48,)*$C$7</f>
        <v>2121514.8739442267</v>
      </c>
      <c r="D26" s="97">
        <f t="shared" si="0"/>
        <v>94050.142892649004</v>
      </c>
      <c r="E26" s="97">
        <f t="shared" si="1"/>
        <v>47025.071446324502</v>
      </c>
      <c r="F26" s="109">
        <f t="shared" si="2"/>
        <v>73819.957156440199</v>
      </c>
      <c r="G26" s="72">
        <f t="shared" si="3"/>
        <v>1387815.1945410757</v>
      </c>
      <c r="H26" s="72">
        <f t="shared" si="4"/>
        <v>616207</v>
      </c>
      <c r="I26" s="109">
        <f t="shared" si="5"/>
        <v>2821.50428677947</v>
      </c>
      <c r="J26" s="72">
        <f t="shared" si="6"/>
        <v>230065.459543998</v>
      </c>
      <c r="K26" s="299">
        <f t="shared" si="7"/>
        <v>102152</v>
      </c>
      <c r="L26" s="111">
        <f t="shared" si="8"/>
        <v>718359</v>
      </c>
    </row>
    <row r="27" spans="1:48" x14ac:dyDescent="0.35">
      <c r="A27" s="9">
        <f>IF((B27&gt;(Inputs!$B$7+Inputs!$B$8)),0,IF((B27&lt;Inputs!$B$7),0,((B27-Inputs!$B$7))))</f>
        <v>7</v>
      </c>
      <c r="B27" s="50">
        <f t="shared" si="9"/>
        <v>2034</v>
      </c>
      <c r="C27" s="97">
        <f>_xlfn.XLOOKUP('Maint Delays Avoidance'!B27,TrafficData!$B$8:$B$48,TrafficData!$C$8:$C$48,)*$C$7</f>
        <v>2163945.1714231111</v>
      </c>
      <c r="D27" s="97">
        <f t="shared" si="0"/>
        <v>95931.145750501979</v>
      </c>
      <c r="E27" s="97">
        <f t="shared" si="1"/>
        <v>47965.572875250989</v>
      </c>
      <c r="F27" s="109">
        <f t="shared" si="2"/>
        <v>75296.356299569001</v>
      </c>
      <c r="G27" s="72">
        <f t="shared" si="3"/>
        <v>1415571.4984318973</v>
      </c>
      <c r="H27" s="72">
        <f t="shared" si="4"/>
        <v>587412</v>
      </c>
      <c r="I27" s="109">
        <f t="shared" si="5"/>
        <v>2877.9343725150593</v>
      </c>
      <c r="J27" s="72">
        <f t="shared" si="6"/>
        <v>234666.76873487796</v>
      </c>
      <c r="K27" s="299">
        <f t="shared" si="7"/>
        <v>97378</v>
      </c>
      <c r="L27" s="111">
        <f t="shared" si="8"/>
        <v>684790</v>
      </c>
    </row>
    <row r="28" spans="1:48" x14ac:dyDescent="0.35">
      <c r="A28" s="9">
        <f>IF((B28&gt;(Inputs!$B$7+Inputs!$B$8)),0,IF((B28&lt;Inputs!$B$7),0,((B28-Inputs!$B$7))))</f>
        <v>8</v>
      </c>
      <c r="B28" s="50">
        <f t="shared" si="9"/>
        <v>2035</v>
      </c>
      <c r="C28" s="97">
        <f>_xlfn.XLOOKUP('Maint Delays Avoidance'!B28,TrafficData!$B$8:$B$48,TrafficData!$C$8:$C$48,)*$C$7</f>
        <v>2207224.074851573</v>
      </c>
      <c r="D28" s="97">
        <f t="shared" si="0"/>
        <v>97849.768665512005</v>
      </c>
      <c r="E28" s="97">
        <f t="shared" si="1"/>
        <v>48924.884332756003</v>
      </c>
      <c r="F28" s="109">
        <f t="shared" si="2"/>
        <v>76802.283425560367</v>
      </c>
      <c r="G28" s="72">
        <f t="shared" si="3"/>
        <v>1443882.9284005349</v>
      </c>
      <c r="H28" s="72">
        <f t="shared" si="4"/>
        <v>559963</v>
      </c>
      <c r="I28" s="109">
        <f t="shared" si="5"/>
        <v>2935.4930599653599</v>
      </c>
      <c r="J28" s="72">
        <f t="shared" si="6"/>
        <v>239360.10410957545</v>
      </c>
      <c r="K28" s="299">
        <f t="shared" si="7"/>
        <v>92828</v>
      </c>
      <c r="L28" s="111">
        <f t="shared" si="8"/>
        <v>652791</v>
      </c>
    </row>
    <row r="29" spans="1:48" x14ac:dyDescent="0.35">
      <c r="A29" s="9">
        <f>IF((B29&gt;(Inputs!$B$7+Inputs!$B$8)),0,IF((B29&lt;Inputs!$B$7),0,((B29-Inputs!$B$7))))</f>
        <v>9</v>
      </c>
      <c r="B29" s="50">
        <f t="shared" si="9"/>
        <v>2036</v>
      </c>
      <c r="C29" s="97">
        <f>_xlfn.XLOOKUP('Maint Delays Avoidance'!B29,TrafficData!$B$8:$B$48,TrafficData!$C$8:$C$48,)*$C$7</f>
        <v>2251368.5563486046</v>
      </c>
      <c r="D29" s="97">
        <f t="shared" si="0"/>
        <v>99806.76403882225</v>
      </c>
      <c r="E29" s="97">
        <f t="shared" si="1"/>
        <v>49903.382019411125</v>
      </c>
      <c r="F29" s="109">
        <f>(1-$C$12)*E29*$C$16</f>
        <v>78338.329094071567</v>
      </c>
      <c r="G29" s="72">
        <f t="shared" si="3"/>
        <v>1472760.5869685456</v>
      </c>
      <c r="H29" s="72">
        <f t="shared" si="4"/>
        <v>533796</v>
      </c>
      <c r="I29" s="109">
        <f t="shared" si="5"/>
        <v>2994.2029211646673</v>
      </c>
      <c r="J29" s="72">
        <f t="shared" si="6"/>
        <v>244147.30619176698</v>
      </c>
      <c r="K29" s="299">
        <f t="shared" si="7"/>
        <v>88490</v>
      </c>
      <c r="L29" s="111">
        <f t="shared" si="8"/>
        <v>622286</v>
      </c>
    </row>
    <row r="30" spans="1:48" x14ac:dyDescent="0.35">
      <c r="A30" s="9">
        <f>IF((B30&gt;(Inputs!$B$7+Inputs!$B$8)),0,IF((B30&lt;Inputs!$B$7),0,((B30-Inputs!$B$7))))</f>
        <v>10</v>
      </c>
      <c r="B30" s="50">
        <f t="shared" si="9"/>
        <v>2037</v>
      </c>
      <c r="C30" s="97">
        <f>_xlfn.XLOOKUP('Maint Delays Avoidance'!B30,TrafficData!$B$8:$B$48,TrafficData!$C$8:$C$48,)*$C$7</f>
        <v>2296395.9274755768</v>
      </c>
      <c r="D30" s="97">
        <f t="shared" si="0"/>
        <v>101802.8993195987</v>
      </c>
      <c r="E30" s="97">
        <f t="shared" si="1"/>
        <v>50901.449659799349</v>
      </c>
      <c r="F30" s="109">
        <f t="shared" si="2"/>
        <v>79905.095675953009</v>
      </c>
      <c r="G30" s="72">
        <f t="shared" si="3"/>
        <v>1502215.7987079166</v>
      </c>
      <c r="H30" s="72">
        <f t="shared" si="4"/>
        <v>508852</v>
      </c>
      <c r="I30" s="109">
        <f t="shared" si="5"/>
        <v>3054.0869795879607</v>
      </c>
      <c r="J30" s="72">
        <f t="shared" si="6"/>
        <v>249030.25231560232</v>
      </c>
      <c r="K30" s="299">
        <f t="shared" si="7"/>
        <v>84355</v>
      </c>
      <c r="L30" s="111">
        <f t="shared" si="8"/>
        <v>593207</v>
      </c>
    </row>
    <row r="31" spans="1:48" x14ac:dyDescent="0.35">
      <c r="A31" s="9">
        <f>IF((B31&gt;(Inputs!$B$7+Inputs!$B$8)),0,IF((B31&lt;Inputs!$B$7),0,((B31-Inputs!$B$7))))</f>
        <v>11</v>
      </c>
      <c r="B31" s="50">
        <f t="shared" si="9"/>
        <v>2038</v>
      </c>
      <c r="C31" s="97">
        <f>_xlfn.XLOOKUP('Maint Delays Avoidance'!B31,TrafficData!$B$8:$B$48,TrafficData!$C$8:$C$48,)*$C$7</f>
        <v>2342323.8460250883</v>
      </c>
      <c r="D31" s="97">
        <f t="shared" si="0"/>
        <v>103838.95730599067</v>
      </c>
      <c r="E31" s="97">
        <f t="shared" si="1"/>
        <v>51919.478652995334</v>
      </c>
      <c r="F31" s="109">
        <f t="shared" si="2"/>
        <v>81503.197589472067</v>
      </c>
      <c r="G31" s="72">
        <f t="shared" si="3"/>
        <v>1532260.1146820749</v>
      </c>
      <c r="H31" s="72">
        <f t="shared" si="4"/>
        <v>485074</v>
      </c>
      <c r="I31" s="109">
        <f t="shared" si="5"/>
        <v>3115.16871917972</v>
      </c>
      <c r="J31" s="72">
        <f t="shared" si="6"/>
        <v>254010.85736191439</v>
      </c>
      <c r="K31" s="299">
        <f t="shared" si="7"/>
        <v>80413</v>
      </c>
      <c r="L31" s="111">
        <f t="shared" si="8"/>
        <v>565487</v>
      </c>
    </row>
    <row r="32" spans="1:48" x14ac:dyDescent="0.35">
      <c r="A32" s="9">
        <f>IF((B32&gt;(Inputs!$B$7+Inputs!$B$8)),0,IF((B32&lt;Inputs!$B$7),0,((B32-Inputs!$B$7))))</f>
        <v>12</v>
      </c>
      <c r="B32" s="50">
        <f t="shared" si="9"/>
        <v>2039</v>
      </c>
      <c r="C32" s="97">
        <f>_xlfn.XLOOKUP('Maint Delays Avoidance'!B32,TrafficData!$B$8:$B$48,TrafficData!$C$8:$C$48,)*$C$7</f>
        <v>2389170.3229455901</v>
      </c>
      <c r="D32" s="97">
        <f t="shared" si="0"/>
        <v>105915.73645211049</v>
      </c>
      <c r="E32" s="97">
        <f t="shared" si="1"/>
        <v>52957.868226055245</v>
      </c>
      <c r="F32" s="109">
        <f t="shared" si="2"/>
        <v>83133.261541261512</v>
      </c>
      <c r="G32" s="72">
        <f t="shared" si="3"/>
        <v>1562905.3169757165</v>
      </c>
      <c r="H32" s="72">
        <f t="shared" si="4"/>
        <v>462407</v>
      </c>
      <c r="I32" s="109">
        <f t="shared" si="5"/>
        <v>3177.4720935633145</v>
      </c>
      <c r="J32" s="72">
        <f t="shared" si="6"/>
        <v>259091.07450915268</v>
      </c>
      <c r="K32" s="299">
        <f t="shared" si="7"/>
        <v>76656</v>
      </c>
      <c r="L32" s="111">
        <f t="shared" si="8"/>
        <v>539063</v>
      </c>
    </row>
    <row r="33" spans="1:16" x14ac:dyDescent="0.35">
      <c r="A33" s="9">
        <f>IF((B33&gt;(Inputs!$B$7+Inputs!$B$8)),0,IF((B33&lt;Inputs!$B$7),0,((B33-Inputs!$B$7))))</f>
        <v>13</v>
      </c>
      <c r="B33" s="50">
        <f t="shared" si="9"/>
        <v>2040</v>
      </c>
      <c r="C33" s="97">
        <f>_xlfn.XLOOKUP('Maint Delays Avoidance'!B33,TrafficData!$B$8:$B$48,TrafficData!$C$8:$C$48,)*$C$7</f>
        <v>2436953.7294045016</v>
      </c>
      <c r="D33" s="97">
        <f t="shared" si="0"/>
        <v>108034.05118115268</v>
      </c>
      <c r="E33" s="97">
        <f t="shared" si="1"/>
        <v>54017.025590576341</v>
      </c>
      <c r="F33" s="109">
        <f t="shared" si="2"/>
        <v>84795.926772086721</v>
      </c>
      <c r="G33" s="72">
        <f t="shared" si="3"/>
        <v>1594163.4233152305</v>
      </c>
      <c r="H33" s="72">
        <f t="shared" si="4"/>
        <v>440799</v>
      </c>
      <c r="I33" s="109">
        <f t="shared" si="5"/>
        <v>3241.0215354345805</v>
      </c>
      <c r="J33" s="72">
        <f t="shared" si="6"/>
        <v>264272.89599933574</v>
      </c>
      <c r="K33" s="299">
        <f t="shared" si="7"/>
        <v>73074</v>
      </c>
      <c r="L33" s="111">
        <f t="shared" si="8"/>
        <v>513873</v>
      </c>
    </row>
    <row r="34" spans="1:16" x14ac:dyDescent="0.35">
      <c r="A34" s="9">
        <f>IF((B34&gt;(Inputs!$B$7+Inputs!$B$8)),0,IF((B34&lt;Inputs!$B$7),0,((B34-Inputs!$B$7))))</f>
        <v>14</v>
      </c>
      <c r="B34" s="50">
        <f t="shared" si="9"/>
        <v>2041</v>
      </c>
      <c r="C34" s="97">
        <f>_xlfn.XLOOKUP('Maint Delays Avoidance'!B34,TrafficData!$B$8:$B$48,TrafficData!$C$8:$C$48,)*$C$7</f>
        <v>2485692.8039925918</v>
      </c>
      <c r="D34" s="97">
        <f t="shared" si="0"/>
        <v>110194.73220477575</v>
      </c>
      <c r="E34" s="97">
        <f t="shared" si="1"/>
        <v>55097.366102387874</v>
      </c>
      <c r="F34" s="109">
        <f t="shared" si="2"/>
        <v>86491.845307528478</v>
      </c>
      <c r="G34" s="72">
        <f t="shared" si="3"/>
        <v>1626046.6917815355</v>
      </c>
      <c r="H34" s="72">
        <f t="shared" si="4"/>
        <v>420201</v>
      </c>
      <c r="I34" s="109">
        <f t="shared" si="5"/>
        <v>3305.8419661432722</v>
      </c>
      <c r="J34" s="72">
        <f t="shared" si="6"/>
        <v>269558.35391932243</v>
      </c>
      <c r="K34" s="299">
        <f t="shared" si="7"/>
        <v>69659</v>
      </c>
      <c r="L34" s="111">
        <f t="shared" si="8"/>
        <v>489860</v>
      </c>
    </row>
    <row r="35" spans="1:16" x14ac:dyDescent="0.35">
      <c r="A35" s="9">
        <f>IF((B35&gt;(Inputs!$B$7+Inputs!$B$8)),0,IF((B35&lt;Inputs!$B$7),0,((B35-Inputs!$B$7))))</f>
        <v>15</v>
      </c>
      <c r="B35" s="50">
        <f t="shared" si="9"/>
        <v>2042</v>
      </c>
      <c r="C35" s="97">
        <f>_xlfn.XLOOKUP('Maint Delays Avoidance'!B35,TrafficData!$B$8:$B$48,TrafficData!$C$8:$C$48,)*$C$7</f>
        <v>2535406.660072444</v>
      </c>
      <c r="D35" s="97">
        <f t="shared" si="0"/>
        <v>112398.62684887128</v>
      </c>
      <c r="E35" s="97">
        <f t="shared" si="1"/>
        <v>56199.313424435641</v>
      </c>
      <c r="F35" s="109">
        <f t="shared" si="2"/>
        <v>88221.682213679058</v>
      </c>
      <c r="G35" s="72">
        <f t="shared" si="3"/>
        <v>1658567.6256171663</v>
      </c>
      <c r="H35" s="72">
        <f t="shared" si="4"/>
        <v>400566</v>
      </c>
      <c r="I35" s="109">
        <f t="shared" si="5"/>
        <v>3371.9588054661385</v>
      </c>
      <c r="J35" s="72">
        <f t="shared" si="6"/>
        <v>274949.52099770895</v>
      </c>
      <c r="K35" s="299">
        <f t="shared" si="7"/>
        <v>66404</v>
      </c>
      <c r="L35" s="111">
        <f t="shared" si="8"/>
        <v>466970</v>
      </c>
    </row>
    <row r="36" spans="1:16" x14ac:dyDescent="0.35">
      <c r="A36" s="9">
        <f>IF((B36&gt;(Inputs!$B$7+Inputs!$B$8)),0,IF((B36&lt;Inputs!$B$7),0,((B36-Inputs!$B$7))))</f>
        <v>16</v>
      </c>
      <c r="B36" s="50">
        <f t="shared" si="9"/>
        <v>2043</v>
      </c>
      <c r="C36" s="97">
        <f>_xlfn.XLOOKUP('Maint Delays Avoidance'!B36,TrafficData!$B$8:$B$48,TrafficData!$C$8:$C$48,)*$C$7</f>
        <v>2586114.7932738927</v>
      </c>
      <c r="D36" s="97">
        <f t="shared" si="0"/>
        <v>114646.59938584869</v>
      </c>
      <c r="E36" s="97">
        <f t="shared" si="1"/>
        <v>57323.299692924345</v>
      </c>
      <c r="F36" s="109">
        <f t="shared" si="2"/>
        <v>89986.115857952624</v>
      </c>
      <c r="G36" s="72">
        <f t="shared" si="3"/>
        <v>1691738.9781295094</v>
      </c>
      <c r="H36" s="72">
        <f t="shared" si="4"/>
        <v>381848</v>
      </c>
      <c r="I36" s="109">
        <f t="shared" si="5"/>
        <v>3439.3979815754606</v>
      </c>
      <c r="J36" s="72">
        <f t="shared" si="6"/>
        <v>280448.51141766307</v>
      </c>
      <c r="K36" s="299">
        <f t="shared" si="7"/>
        <v>63301</v>
      </c>
      <c r="L36" s="111">
        <f t="shared" si="8"/>
        <v>445149</v>
      </c>
    </row>
    <row r="37" spans="1:16" x14ac:dyDescent="0.35">
      <c r="A37" s="9">
        <f>IF((B37&gt;(Inputs!$B$7+Inputs!$B$8)),0,IF((B37&lt;Inputs!$B$7),0,((B37-Inputs!$B$7))))</f>
        <v>17</v>
      </c>
      <c r="B37" s="50">
        <f t="shared" si="9"/>
        <v>2044</v>
      </c>
      <c r="C37" s="97">
        <f>_xlfn.XLOOKUP('Maint Delays Avoidance'!B37,TrafficData!$B$8:$B$48,TrafficData!$C$8:$C$48,)*$C$7</f>
        <v>2637837.0891393702</v>
      </c>
      <c r="D37" s="97">
        <f t="shared" si="0"/>
        <v>116939.53137356565</v>
      </c>
      <c r="E37" s="97">
        <f t="shared" si="1"/>
        <v>58469.765686782826</v>
      </c>
      <c r="F37" s="109">
        <f t="shared" si="2"/>
        <v>91785.838175111669</v>
      </c>
      <c r="G37" s="72">
        <f t="shared" si="3"/>
        <v>1725573.7576920995</v>
      </c>
      <c r="H37" s="72">
        <f t="shared" si="4"/>
        <v>364004</v>
      </c>
      <c r="I37" s="109">
        <f t="shared" si="5"/>
        <v>3508.1859412069693</v>
      </c>
      <c r="J37" s="72">
        <f t="shared" si="6"/>
        <v>286057.4816460163</v>
      </c>
      <c r="K37" s="299">
        <f t="shared" si="7"/>
        <v>60343</v>
      </c>
      <c r="L37" s="111">
        <f t="shared" si="8"/>
        <v>424347</v>
      </c>
    </row>
    <row r="38" spans="1:16" x14ac:dyDescent="0.35">
      <c r="A38" s="9">
        <f>IF((B38&gt;(Inputs!$B$7+Inputs!$B$8)),0,IF((B38&lt;Inputs!$B$7),0,((B38-Inputs!$B$7))))</f>
        <v>18</v>
      </c>
      <c r="B38" s="50">
        <f t="shared" si="9"/>
        <v>2045</v>
      </c>
      <c r="C38" s="97">
        <f>_xlfn.XLOOKUP('Maint Delays Avoidance'!B38,TrafficData!$B$8:$B$48,TrafficData!$C$8:$C$48,)*$C$7</f>
        <v>2690593.830922158</v>
      </c>
      <c r="D38" s="97">
        <f t="shared" si="0"/>
        <v>119278.32200103698</v>
      </c>
      <c r="E38" s="97">
        <f t="shared" si="1"/>
        <v>59639.161000518492</v>
      </c>
      <c r="F38" s="109">
        <f t="shared" si="2"/>
        <v>93621.554938613917</v>
      </c>
      <c r="G38" s="72">
        <f t="shared" si="3"/>
        <v>1760085.2328459418</v>
      </c>
      <c r="H38" s="72">
        <f t="shared" si="4"/>
        <v>346995</v>
      </c>
      <c r="I38" s="109">
        <f t="shared" si="5"/>
        <v>3578.3496600311096</v>
      </c>
      <c r="J38" s="72">
        <f t="shared" si="6"/>
        <v>291778.63127893669</v>
      </c>
      <c r="K38" s="299">
        <f t="shared" si="7"/>
        <v>57523</v>
      </c>
      <c r="L38" s="111">
        <f t="shared" si="8"/>
        <v>404518</v>
      </c>
    </row>
    <row r="39" spans="1:16" x14ac:dyDescent="0.35">
      <c r="A39" s="9">
        <f>IF((B39&gt;(Inputs!$B$7+Inputs!$B$8)),0,IF((B39&lt;Inputs!$B$7),0,((B39-Inputs!$B$7))))</f>
        <v>19</v>
      </c>
      <c r="B39" s="50">
        <f t="shared" si="9"/>
        <v>2046</v>
      </c>
      <c r="C39" s="97">
        <f>_xlfn.XLOOKUP('Maint Delays Avoidance'!B39,TrafficData!$B$8:$B$48,TrafficData!$C$8:$C$48,)*$C$7</f>
        <v>2744405.707540601</v>
      </c>
      <c r="D39" s="97">
        <f t="shared" si="0"/>
        <v>121663.88844105772</v>
      </c>
      <c r="E39" s="97">
        <f t="shared" si="1"/>
        <v>60831.944220528858</v>
      </c>
      <c r="F39" s="109">
        <f t="shared" si="2"/>
        <v>95493.986037386203</v>
      </c>
      <c r="G39" s="72">
        <f t="shared" si="3"/>
        <v>1795286.9375028608</v>
      </c>
      <c r="H39" s="72">
        <f t="shared" si="4"/>
        <v>330780</v>
      </c>
      <c r="I39" s="109">
        <f t="shared" si="5"/>
        <v>3649.9166532317313</v>
      </c>
      <c r="J39" s="72">
        <f t="shared" si="6"/>
        <v>297614.20390451537</v>
      </c>
      <c r="K39" s="299">
        <f t="shared" si="7"/>
        <v>54835</v>
      </c>
      <c r="L39" s="111">
        <f t="shared" si="8"/>
        <v>385615</v>
      </c>
    </row>
    <row r="40" spans="1:16" x14ac:dyDescent="0.35">
      <c r="A40" s="9">
        <f>IF((B40&gt;(Inputs!$B$7+Inputs!$B$8)),0,IF((B40&lt;Inputs!$B$7),0,((B40-Inputs!$B$7))))</f>
        <v>20</v>
      </c>
      <c r="B40" s="50">
        <f t="shared" si="9"/>
        <v>2047</v>
      </c>
      <c r="C40" s="97">
        <f>_xlfn.XLOOKUP('Maint Delays Avoidance'!B40,TrafficData!$B$8:$B$48,TrafficData!$C$8:$C$48,)*$C$7</f>
        <v>2799293.8216914134</v>
      </c>
      <c r="D40" s="97">
        <f t="shared" si="0"/>
        <v>124097.16620987888</v>
      </c>
      <c r="E40" s="97">
        <f t="shared" si="1"/>
        <v>62048.58310493944</v>
      </c>
      <c r="F40" s="109">
        <f t="shared" si="2"/>
        <v>97403.865758133921</v>
      </c>
      <c r="G40" s="72">
        <f t="shared" si="3"/>
        <v>1831192.6762529179</v>
      </c>
      <c r="H40" s="72">
        <f t="shared" si="4"/>
        <v>315323</v>
      </c>
      <c r="I40" s="109">
        <f t="shared" si="5"/>
        <v>3722.9149862963664</v>
      </c>
      <c r="J40" s="72">
        <f t="shared" si="6"/>
        <v>303566.48798260576</v>
      </c>
      <c r="K40" s="299">
        <f t="shared" si="7"/>
        <v>52273</v>
      </c>
      <c r="L40" s="111">
        <f t="shared" si="8"/>
        <v>367596</v>
      </c>
    </row>
    <row r="41" spans="1:16" x14ac:dyDescent="0.35">
      <c r="H41" s="30"/>
      <c r="J41" s="32"/>
      <c r="K41" s="32"/>
      <c r="M41" s="32"/>
      <c r="N41" s="32"/>
      <c r="P41" s="50"/>
    </row>
    <row r="42" spans="1:16" x14ac:dyDescent="0.35">
      <c r="H42" s="48">
        <f>SUM(H21:H40)</f>
        <v>10319077</v>
      </c>
      <c r="I42" s="32"/>
      <c r="J42" s="48"/>
      <c r="K42" s="48">
        <f>SUM(K21:K40)</f>
        <v>1710648</v>
      </c>
      <c r="L42" s="95">
        <f>SUM(L21:L40)</f>
        <v>12029725</v>
      </c>
    </row>
  </sheetData>
  <sheetProtection algorithmName="SHA-512" hashValue="wi0Hk1uuS/nqCBgshgZrTiZ4jeM8ik3feLfFTljOAqLNThYIN+XhgHVLZbCwji1Q5AmvJoajbK94ax9N+Y+Yvg==" saltValue="baxPhoapIwU5euoBSr8lng==" spinCount="100000" sheet="1" objects="1" scenarios="1"/>
  <mergeCells count="2">
    <mergeCell ref="F19:H19"/>
    <mergeCell ref="I19:K19"/>
  </mergeCells>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4733EB63C9B9B46B6229EA8325FC0D4" ma:contentTypeVersion="5" ma:contentTypeDescription="Create a new document." ma:contentTypeScope="" ma:versionID="72bfcf12ab05526b8d06f518ae4172d2">
  <xsd:schema xmlns:xsd="http://www.w3.org/2001/XMLSchema" xmlns:xs="http://www.w3.org/2001/XMLSchema" xmlns:p="http://schemas.microsoft.com/office/2006/metadata/properties" xmlns:ns1="http://schemas.microsoft.com/sharepoint/v3" xmlns:ns2="16f00c2e-ac5c-418b-9f13-a0771dbd417d" xmlns:ns3="1d691ffc-4f7d-45af-b3db-5cd0401c4b7e" targetNamespace="http://schemas.microsoft.com/office/2006/metadata/properties" ma:root="true" ma:fieldsID="67e589a48507133fddd323a5e24c4cd5" ns1:_="" ns2:_="" ns3:_="">
    <xsd:import namespace="http://schemas.microsoft.com/sharepoint/v3"/>
    <xsd:import namespace="16f00c2e-ac5c-418b-9f13-a0771dbd417d"/>
    <xsd:import namespace="1d691ffc-4f7d-45af-b3db-5cd0401c4b7e"/>
    <xsd:element name="properties">
      <xsd:complexType>
        <xsd:sequence>
          <xsd:element name="documentManagement">
            <xsd:complexType>
              <xsd:all>
                <xsd:element ref="ns2:_dlc_DocId" minOccurs="0"/>
                <xsd:element ref="ns2:_dlc_DocIdUrl" minOccurs="0"/>
                <xsd:element ref="ns2:_dlc_DocIdPersistId" minOccurs="0"/>
                <xsd:element ref="ns1:URL" minOccurs="0"/>
                <xsd:element ref="ns1:PublishingStartDate" minOccurs="0"/>
                <xsd:element ref="ns1:PublishingExpirationDate" minOccurs="0"/>
                <xsd:element ref="ns3:Category" minOccurs="0"/>
                <xsd:element ref="ns3:Sor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URL" ma:index="6" nillable="true" ma:displayName="URL" ma:internalName="URL">
      <xsd:complexType>
        <xsd:complexContent>
          <xsd:extension base="dms:URL">
            <xsd:sequence>
              <xsd:element name="Url" type="dms:ValidUrl" minOccurs="0" nillable="true"/>
              <xsd:element name="Description" type="xsd:string" nillable="true"/>
            </xsd:sequence>
          </xsd:extension>
        </xsd:complexContent>
      </xsd:complexType>
    </xsd:element>
    <xsd:element name="PublishingStartDate" ma:index="7"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8"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6f00c2e-ac5c-418b-9f13-a0771dbd417d" elementFormDefault="qualified">
    <xsd:import namespace="http://schemas.microsoft.com/office/2006/documentManagement/types"/>
    <xsd:import namespace="http://schemas.microsoft.com/office/infopath/2007/PartnerControls"/>
    <xsd:element name="_dlc_DocId" ma:index="3" nillable="true" ma:displayName="Document ID Value" ma:description="The value of the document ID assigned to this item." ma:internalName="_dlc_DocId" ma:readOnly="true">
      <xsd:simpleType>
        <xsd:restriction base="dms:Text"/>
      </xsd:simpleType>
    </xsd:element>
    <xsd:element name="_dlc_DocIdUrl" ma:index="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5"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d691ffc-4f7d-45af-b3db-5cd0401c4b7e" elementFormDefault="qualified">
    <xsd:import namespace="http://schemas.microsoft.com/office/2006/documentManagement/types"/>
    <xsd:import namespace="http://schemas.microsoft.com/office/infopath/2007/PartnerControls"/>
    <xsd:element name="Category" ma:index="9" nillable="true" ma:displayName="Category" ma:format="Dropdown" ma:internalName="Category" ma:readOnly="false">
      <xsd:simpleType>
        <xsd:restriction base="dms:Choice">
          <xsd:enumeration value="Appendices and Supporting Information"/>
          <xsd:enumeration value="Application Information"/>
          <xsd:enumeration value="Business"/>
          <xsd:enumeration value="Crash Data"/>
          <xsd:enumeration value="Letters of Support"/>
          <xsd:enumeration value="NC Government"/>
          <xsd:enumeration value="Operations and Maintenance"/>
          <xsd:enumeration value="Organizations"/>
          <xsd:enumeration value="Technical Studies"/>
          <xsd:enumeration value="White Papers"/>
        </xsd:restriction>
      </xsd:simpleType>
    </xsd:element>
    <xsd:element name="SortOrder" ma:index="10" nillable="true" ma:displayName="SortOrder" ma:decimals="0" ma:internalName="SortOrder"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2"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file>

<file path=customXml/item4.xml><?xml version="1.0" encoding="utf-8"?>
<p:properties xmlns:p="http://schemas.microsoft.com/office/2006/metadata/properties" xmlns:xsi="http://www.w3.org/2001/XMLSchema-instance" xmlns:pc="http://schemas.microsoft.com/office/infopath/2007/PartnerControls">
  <documentManagement>
    <URL xmlns="http://schemas.microsoft.com/sharepoint/v3">
      <Url xsi:nil="true"/>
      <Description xsi:nil="true"/>
    </URL>
    <PublishingExpirationDate xmlns="http://schemas.microsoft.com/sharepoint/v3" xsi:nil="true"/>
    <SortOrder xmlns="1d691ffc-4f7d-45af-b3db-5cd0401c4b7e">9</SortOrder>
    <PublishingStartDate xmlns="http://schemas.microsoft.com/sharepoint/v3" xsi:nil="true"/>
    <Category xmlns="1d691ffc-4f7d-45af-b3db-5cd0401c4b7e">Application Information</Category>
  </documentManagement>
</p:properties>
</file>

<file path=customXml/itemProps1.xml><?xml version="1.0" encoding="utf-8"?>
<ds:datastoreItem xmlns:ds="http://schemas.openxmlformats.org/officeDocument/2006/customXml" ds:itemID="{AEA41E63-D4F0-4A7B-96D0-374EF5A8E552}"/>
</file>

<file path=customXml/itemProps2.xml><?xml version="1.0" encoding="utf-8"?>
<ds:datastoreItem xmlns:ds="http://schemas.openxmlformats.org/officeDocument/2006/customXml" ds:itemID="{140633C5-CD82-4BFB-BA83-99AA891FDAC2}"/>
</file>

<file path=customXml/itemProps3.xml><?xml version="1.0" encoding="utf-8"?>
<ds:datastoreItem xmlns:ds="http://schemas.openxmlformats.org/officeDocument/2006/customXml" ds:itemID="{A770FC78-B58F-43FA-A9EF-51CE672A34E7}"/>
</file>

<file path=customXml/itemProps4.xml><?xml version="1.0" encoding="utf-8"?>
<ds:datastoreItem xmlns:ds="http://schemas.openxmlformats.org/officeDocument/2006/customXml" ds:itemID="{CEBD99D3-84E2-4243-9C79-0906D050ACB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BCA-Summary</vt:lpstr>
      <vt:lpstr>ImpactMatrix</vt:lpstr>
      <vt:lpstr>Inputs</vt:lpstr>
      <vt:lpstr>CapitalCosts </vt:lpstr>
      <vt:lpstr>O&amp;M_Costs</vt:lpstr>
      <vt:lpstr>Safety</vt:lpstr>
      <vt:lpstr>Wildlife Safety</vt:lpstr>
      <vt:lpstr>TT_Savings</vt:lpstr>
      <vt:lpstr>Maint Delays Avoidance</vt:lpstr>
      <vt:lpstr>DMS Delay Avoidance</vt:lpstr>
      <vt:lpstr>ParatransitTT_Savings</vt:lpstr>
      <vt:lpstr>SignalCoord</vt:lpstr>
      <vt:lpstr>AgAccess</vt:lpstr>
      <vt:lpstr>EmergencyServices</vt:lpstr>
      <vt:lpstr>Emissions-Idling</vt:lpstr>
      <vt:lpstr>Non-Motorist Savings</vt:lpstr>
      <vt:lpstr>Residual</vt:lpstr>
      <vt:lpstr>143O&amp;M</vt:lpstr>
      <vt:lpstr>TIMS_Summary</vt:lpstr>
      <vt:lpstr>TrafficData</vt:lpstr>
      <vt:lpstr>AT User Data</vt:lpstr>
      <vt:lpstr>Emissions Rates</vt:lpstr>
      <vt:lpstr>CMFs</vt:lpstr>
      <vt:lpstr>Cost&amp;Schedule</vt:lpstr>
      <vt:lpstr>Deflator</vt:lpstr>
    </vt:vector>
  </TitlesOfParts>
  <Manager/>
  <Company>AECOM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BCA Calculations (Locked)</dc:title>
  <dc:subject/>
  <dc:creator>Santhanam, Srividya</dc:creator>
  <cp:keywords/>
  <dc:description/>
  <cp:lastModifiedBy>Bonton, Sherida</cp:lastModifiedBy>
  <cp:revision/>
  <dcterms:created xsi:type="dcterms:W3CDTF">2018-06-12T20:00:02Z</dcterms:created>
  <dcterms:modified xsi:type="dcterms:W3CDTF">2023-02-23T16:04:59Z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0x010100E4733EB63C9B9B46B6229EA8325FC0D4</vt:lpwstr>
  </property>
  <property fmtid="{D5CDD505-2E9C-101B-9397-08002B2CF9AE}" pid="3" name="Order">
    <vt:r8>14700</vt:r8>
  </property>
  <property fmtid="{D5CDD505-2E9C-101B-9397-08002B2CF9AE}" pid="4" name="MediaServiceImageTags">
    <vt:lpwstr/>
  </property>
</Properties>
</file>